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паркинг" sheetId="1" r:id="rId1"/>
    <sheet name="консьержи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I33" i="2"/>
  <c r="K34"/>
  <c r="K30"/>
  <c r="K29"/>
  <c r="I28"/>
  <c r="C25"/>
  <c r="I25" s="1"/>
  <c r="C23"/>
  <c r="I23" s="1"/>
  <c r="K23" s="1"/>
  <c r="I22"/>
  <c r="K22" s="1"/>
  <c r="K15"/>
  <c r="K14"/>
  <c r="I13"/>
  <c r="C8"/>
  <c r="I8" s="1"/>
  <c r="K8" s="1"/>
  <c r="I7"/>
  <c r="K7" s="1"/>
  <c r="G55" i="1"/>
  <c r="E55"/>
  <c r="G36"/>
  <c r="E36"/>
  <c r="C10"/>
  <c r="D10" s="1"/>
  <c r="G10" s="1"/>
  <c r="C29"/>
  <c r="I29" s="1"/>
  <c r="C14"/>
  <c r="L58"/>
  <c r="K58"/>
  <c r="J58"/>
  <c r="G58"/>
  <c r="F58"/>
  <c r="E58"/>
  <c r="C58"/>
  <c r="K57"/>
  <c r="K60" s="1"/>
  <c r="F57"/>
  <c r="L55"/>
  <c r="J55"/>
  <c r="I43"/>
  <c r="D43"/>
  <c r="E43" s="1"/>
  <c r="I42"/>
  <c r="E42"/>
  <c r="D42"/>
  <c r="I41"/>
  <c r="L41" s="1"/>
  <c r="G41"/>
  <c r="D41"/>
  <c r="I40"/>
  <c r="L40" s="1"/>
  <c r="D40"/>
  <c r="E40" s="1"/>
  <c r="L39"/>
  <c r="I39"/>
  <c r="J39" s="1"/>
  <c r="G39"/>
  <c r="E39"/>
  <c r="D39"/>
  <c r="L38"/>
  <c r="J38"/>
  <c r="M38" s="1"/>
  <c r="I38"/>
  <c r="G38"/>
  <c r="E38"/>
  <c r="H38" s="1"/>
  <c r="D38"/>
  <c r="L37"/>
  <c r="J37"/>
  <c r="M37" s="1"/>
  <c r="I37"/>
  <c r="G37"/>
  <c r="E37"/>
  <c r="H37" s="1"/>
  <c r="D37"/>
  <c r="I36"/>
  <c r="L36" s="1"/>
  <c r="D36"/>
  <c r="L35"/>
  <c r="J35"/>
  <c r="M35" s="1"/>
  <c r="I35"/>
  <c r="G35"/>
  <c r="E35"/>
  <c r="H35" s="1"/>
  <c r="D35"/>
  <c r="I34"/>
  <c r="J34" s="1"/>
  <c r="M34" s="1"/>
  <c r="D34"/>
  <c r="E34" s="1"/>
  <c r="H34" s="1"/>
  <c r="I33"/>
  <c r="J33" s="1"/>
  <c r="M33" s="1"/>
  <c r="H33"/>
  <c r="E33"/>
  <c r="D33"/>
  <c r="J32"/>
  <c r="M32" s="1"/>
  <c r="I32"/>
  <c r="D32"/>
  <c r="E32" s="1"/>
  <c r="H32" s="1"/>
  <c r="M31"/>
  <c r="L31"/>
  <c r="J31"/>
  <c r="H31"/>
  <c r="L30"/>
  <c r="J30"/>
  <c r="I30"/>
  <c r="G30"/>
  <c r="E30"/>
  <c r="D30"/>
  <c r="H28"/>
  <c r="C28"/>
  <c r="I28" s="1"/>
  <c r="I27"/>
  <c r="J27" s="1"/>
  <c r="D27"/>
  <c r="C27"/>
  <c r="E27" s="1"/>
  <c r="J26"/>
  <c r="M26" s="1"/>
  <c r="I26"/>
  <c r="L26" s="1"/>
  <c r="E26"/>
  <c r="D26"/>
  <c r="C26"/>
  <c r="G26" s="1"/>
  <c r="J25"/>
  <c r="M25" s="1"/>
  <c r="I25"/>
  <c r="D25"/>
  <c r="E25" s="1"/>
  <c r="H25" s="1"/>
  <c r="H24"/>
  <c r="E24"/>
  <c r="D24"/>
  <c r="C24"/>
  <c r="I24" s="1"/>
  <c r="J24" s="1"/>
  <c r="M24" s="1"/>
  <c r="I23"/>
  <c r="J22"/>
  <c r="M22" s="1"/>
  <c r="I22"/>
  <c r="D22"/>
  <c r="E22" s="1"/>
  <c r="H22" s="1"/>
  <c r="J21"/>
  <c r="M21" s="1"/>
  <c r="I21"/>
  <c r="D21"/>
  <c r="E21" s="1"/>
  <c r="H21" s="1"/>
  <c r="I20"/>
  <c r="J20" s="1"/>
  <c r="M20" s="1"/>
  <c r="H20"/>
  <c r="E20"/>
  <c r="D20"/>
  <c r="L19"/>
  <c r="J19"/>
  <c r="M19" s="1"/>
  <c r="I19"/>
  <c r="G19"/>
  <c r="E19"/>
  <c r="H19" s="1"/>
  <c r="D19"/>
  <c r="G18"/>
  <c r="E18"/>
  <c r="H18" s="1"/>
  <c r="C18"/>
  <c r="I18" s="1"/>
  <c r="L17"/>
  <c r="J17"/>
  <c r="M17" s="1"/>
  <c r="I17"/>
  <c r="G17"/>
  <c r="E17"/>
  <c r="H17" s="1"/>
  <c r="D17"/>
  <c r="L16"/>
  <c r="J16"/>
  <c r="M16" s="1"/>
  <c r="I16"/>
  <c r="G16"/>
  <c r="E16"/>
  <c r="H16" s="1"/>
  <c r="D16"/>
  <c r="I15"/>
  <c r="J15" s="1"/>
  <c r="E15"/>
  <c r="D15"/>
  <c r="E14"/>
  <c r="H14" s="1"/>
  <c r="I14"/>
  <c r="J14" s="1"/>
  <c r="M14" s="1"/>
  <c r="I13"/>
  <c r="J13" s="1"/>
  <c r="M13" s="1"/>
  <c r="H13"/>
  <c r="E13"/>
  <c r="D13"/>
  <c r="J12"/>
  <c r="M12" s="1"/>
  <c r="I12"/>
  <c r="D12"/>
  <c r="E12" s="1"/>
  <c r="H12" s="1"/>
  <c r="C11"/>
  <c r="I11" s="1"/>
  <c r="C26" i="2" l="1"/>
  <c r="K25"/>
  <c r="C10"/>
  <c r="I10" s="1"/>
  <c r="K10" s="1"/>
  <c r="C24"/>
  <c r="I24" s="1"/>
  <c r="K24" s="1"/>
  <c r="C9"/>
  <c r="I9" s="1"/>
  <c r="K9" s="1"/>
  <c r="C55" i="1"/>
  <c r="J36"/>
  <c r="H36"/>
  <c r="M36"/>
  <c r="I10"/>
  <c r="L10" s="1"/>
  <c r="L47" s="1"/>
  <c r="L57" s="1"/>
  <c r="J23"/>
  <c r="M23" s="1"/>
  <c r="L23"/>
  <c r="J28"/>
  <c r="M28" s="1"/>
  <c r="L28"/>
  <c r="M27"/>
  <c r="J11"/>
  <c r="M11" s="1"/>
  <c r="J18"/>
  <c r="M18" s="1"/>
  <c r="L18"/>
  <c r="J29"/>
  <c r="L29"/>
  <c r="H26"/>
  <c r="J40"/>
  <c r="C47"/>
  <c r="C57" s="1"/>
  <c r="G28"/>
  <c r="E10"/>
  <c r="D11"/>
  <c r="E11" s="1"/>
  <c r="H11" s="1"/>
  <c r="G27"/>
  <c r="H27" s="1"/>
  <c r="L27"/>
  <c r="E28"/>
  <c r="H29" s="1"/>
  <c r="D29"/>
  <c r="D47" s="1"/>
  <c r="G40"/>
  <c r="D23"/>
  <c r="D28"/>
  <c r="C11" i="2" l="1"/>
  <c r="I11" s="1"/>
  <c r="K11" s="1"/>
  <c r="I26"/>
  <c r="K26" s="1"/>
  <c r="C31"/>
  <c r="C16"/>
  <c r="I16" s="1"/>
  <c r="K16" s="1"/>
  <c r="C60" i="1"/>
  <c r="L48"/>
  <c r="I47"/>
  <c r="I48"/>
  <c r="L49" s="1"/>
  <c r="J10"/>
  <c r="L60"/>
  <c r="J47"/>
  <c r="J48"/>
  <c r="M10"/>
  <c r="M29"/>
  <c r="E23"/>
  <c r="H23" s="1"/>
  <c r="G23"/>
  <c r="H10"/>
  <c r="E29"/>
  <c r="E48" s="1"/>
  <c r="G29"/>
  <c r="I31" i="2" l="1"/>
  <c r="K31" s="1"/>
  <c r="C35"/>
  <c r="I35" s="1"/>
  <c r="K35" s="1"/>
  <c r="J57" i="1"/>
  <c r="J60"/>
  <c r="G47"/>
  <c r="G57" s="1"/>
  <c r="G48"/>
  <c r="G49" s="1"/>
  <c r="E47"/>
  <c r="E57" s="1"/>
</calcChain>
</file>

<file path=xl/sharedStrings.xml><?xml version="1.0" encoding="utf-8"?>
<sst xmlns="http://schemas.openxmlformats.org/spreadsheetml/2006/main" count="242" uniqueCount="127">
  <si>
    <t>ТОВАРИЩЕСТВО СОБСТВЕННИКОВ ЖИЛЬЯ
"ЩЕРБАКОВА 5А"
620076 г. Екатеринбург, ул. Щербакова, 5А 
тел (982) 674-02-79 E-mail: tsg.5a@mail.ru
ИНН 6679047240, КПП 667901001
р/сч 40703810562170000016 в ПАО КБ «УБРиР», г. Екатеринбург
кор/сч 30101810900000000795, БИК 046577795</t>
  </si>
  <si>
    <t>Статьи расходов</t>
  </si>
  <si>
    <t>Поставщик</t>
  </si>
  <si>
    <t xml:space="preserve">Сумма предполагаемых </t>
  </si>
  <si>
    <t>Распределение расходов пропорционально площади</t>
  </si>
  <si>
    <t>проверка</t>
  </si>
  <si>
    <t>расходов ежемесячно</t>
  </si>
  <si>
    <t>содерж.жилья</t>
  </si>
  <si>
    <t>паркинг</t>
  </si>
  <si>
    <t>(9843,5 кв.м)</t>
  </si>
  <si>
    <t>(7960,7 кв.м)</t>
  </si>
  <si>
    <t>(1882,8 кв.м)</t>
  </si>
  <si>
    <t>(8746,3 кв.м)</t>
  </si>
  <si>
    <t>(785,6 кв.м)</t>
  </si>
  <si>
    <t>дератизация</t>
  </si>
  <si>
    <t>ООО "Городская дезинфекционная станция"</t>
  </si>
  <si>
    <t>анализ проб ХВС, ГВС</t>
  </si>
  <si>
    <t>АО "Реагенты водоканала"</t>
  </si>
  <si>
    <t xml:space="preserve">тех.освидетельствование лифтов </t>
  </si>
  <si>
    <t>ООО "ИКЦ УралЛифт"</t>
  </si>
  <si>
    <t>страхование лифтов</t>
  </si>
  <si>
    <t>Екатеринбургский филиал ОАО "АльфаСтрахование"</t>
  </si>
  <si>
    <t>тех.обслуживание лифтов</t>
  </si>
  <si>
    <t>ООО "Средураллифт"</t>
  </si>
  <si>
    <t>вывоз отходов</t>
  </si>
  <si>
    <t>тех.обслуживание пожарной сигнализации, видеонаблюдения</t>
  </si>
  <si>
    <t>ООО "РСБ"</t>
  </si>
  <si>
    <t>тех.обслуживание тревожной сигнализации</t>
  </si>
  <si>
    <t>ООО "Паритет-Урал"</t>
  </si>
  <si>
    <t>тех.обслуживание УКУТ</t>
  </si>
  <si>
    <t>ИП Черепанов А.В.</t>
  </si>
  <si>
    <t>охрана (сработка трев.кнопки)</t>
  </si>
  <si>
    <t>ГУ МВД</t>
  </si>
  <si>
    <t>услуги регистрации граждан</t>
  </si>
  <si>
    <t>МКУ "Центр муниципальных услуг в жилищно-коммунальной сфере"</t>
  </si>
  <si>
    <t>услуги телефонной связи</t>
  </si>
  <si>
    <t>ООО "Научно-технический центр "Интек"</t>
  </si>
  <si>
    <t>техническое (аварийное) обслуживание дома</t>
  </si>
  <si>
    <t xml:space="preserve"> ООО "Комфортный сервис"</t>
  </si>
  <si>
    <t>услуги по приему платежей</t>
  </si>
  <si>
    <t>ООО "ЕРЦ-Финансовая логистика"</t>
  </si>
  <si>
    <t xml:space="preserve">зарплата уборщица </t>
  </si>
  <si>
    <t>с учетом районного коэффициента и отпускных выплат</t>
  </si>
  <si>
    <t xml:space="preserve">зарплата специалист по хозяйственной части </t>
  </si>
  <si>
    <t>зарплата дворник</t>
  </si>
  <si>
    <t xml:space="preserve">зарплата бухгалтер </t>
  </si>
  <si>
    <t>взносы от зарплаты</t>
  </si>
  <si>
    <t>вознаграждение председателя</t>
  </si>
  <si>
    <t>в размере 3 МРОТ</t>
  </si>
  <si>
    <t>налоги</t>
  </si>
  <si>
    <t>минимальный налог УСН</t>
  </si>
  <si>
    <t>единый налог УСН</t>
  </si>
  <si>
    <t>уборка и вывоз снега спец.техникой</t>
  </si>
  <si>
    <t>ООО "Бустаев"</t>
  </si>
  <si>
    <t>электроизделия, сантехника, материалы для текущего ремонта, доставка</t>
  </si>
  <si>
    <t xml:space="preserve"> Авансовые отчеты</t>
  </si>
  <si>
    <t>моющие средства, уборочный инвентарь</t>
  </si>
  <si>
    <t>ООО "Комус-Урал",  Авансовые отчеты</t>
  </si>
  <si>
    <t>канцтовары, заправка картриджа</t>
  </si>
  <si>
    <t>почтовые расходы</t>
  </si>
  <si>
    <t>юридические услуги, составление смет, спец.оценка условий труда</t>
  </si>
  <si>
    <t>организационные расходы</t>
  </si>
  <si>
    <t>обслуживание расч.и спец.счетов</t>
  </si>
  <si>
    <t>ПАО "УБРИР"</t>
  </si>
  <si>
    <t>обслуживание программ, сайта</t>
  </si>
  <si>
    <t>ООО "Бонус Ай Ти", ООО "АСП Электронные сервисы", Храмцов А.Ю.</t>
  </si>
  <si>
    <t>ремонт ворот паркинга</t>
  </si>
  <si>
    <t>ООО "СтройТехМаркет", Келих А.А., ООО "СМУ Плюс"</t>
  </si>
  <si>
    <t>ежегодное вознаграждение членов ревизионной комиссии</t>
  </si>
  <si>
    <t xml:space="preserve">текущий ремонт </t>
  </si>
  <si>
    <t>Итого:</t>
  </si>
  <si>
    <t xml:space="preserve">Итого среднемесячных расходов на 1 кв.м </t>
  </si>
  <si>
    <t>Итого среднемесячных расходов на 1 парковочное место 38,42 кв.м (1882,8кв.м / 49)</t>
  </si>
  <si>
    <t xml:space="preserve">Статьи доходов </t>
  </si>
  <si>
    <t>Распределение доходов пропорционально площади</t>
  </si>
  <si>
    <t>Распределение доходов и расходов пропорционально площади</t>
  </si>
  <si>
    <t xml:space="preserve">квартиры </t>
  </si>
  <si>
    <t>Сумма доходов на содержание жилья, обслуживание паркинга *</t>
  </si>
  <si>
    <t>Сумма начисленных пени по ЖКУ</t>
  </si>
  <si>
    <t>Сумма расходов на содержание жилья, обслуживание паркинга</t>
  </si>
  <si>
    <t>Убыток 2017 года</t>
  </si>
  <si>
    <t>Итого прибыль (+) / Убыток (-)</t>
  </si>
  <si>
    <t>* Сумма предполагаемых доходов рассчитана по тарифам:</t>
  </si>
  <si>
    <t>Председатель правления ТСЖ "Щербакова 5А"</t>
  </si>
  <si>
    <t>Андреев Н.Е.</t>
  </si>
  <si>
    <t>Смета расходов и доходов на содержание дома на 2020 год</t>
  </si>
  <si>
    <t>доходов в 2020 году</t>
  </si>
  <si>
    <t xml:space="preserve">на содержание жилья в размере 26,92 руб / кв.м; на обслуживание паркинга в размере 500 руб / парк.место </t>
  </si>
  <si>
    <t>Отчет о расходах и доходах на содержание поста консьержек в 2018г</t>
  </si>
  <si>
    <t>№</t>
  </si>
  <si>
    <t>Статьи расходов и доходов</t>
  </si>
  <si>
    <t>сумма за период</t>
  </si>
  <si>
    <t>период</t>
  </si>
  <si>
    <t>Сумма в год, руб.</t>
  </si>
  <si>
    <t>Сумма в месяц, руб.</t>
  </si>
  <si>
    <t>1.</t>
  </si>
  <si>
    <t>Выплата по договору (до вычета НДФЛ)</t>
  </si>
  <si>
    <t>руб.</t>
  </si>
  <si>
    <t>*</t>
  </si>
  <si>
    <t>дн</t>
  </si>
  <si>
    <t xml:space="preserve"> =</t>
  </si>
  <si>
    <t xml:space="preserve"> -</t>
  </si>
  <si>
    <t>уплата НДФЛ</t>
  </si>
  <si>
    <t>выплата сотрудникам</t>
  </si>
  <si>
    <t>2.</t>
  </si>
  <si>
    <t>Взносы в ПФР, ФСС, ФОМС</t>
  </si>
  <si>
    <t>%</t>
  </si>
  <si>
    <t>3.</t>
  </si>
  <si>
    <t>Тариф на 1 квартиру</t>
  </si>
  <si>
    <t>/</t>
  </si>
  <si>
    <t>кв.</t>
  </si>
  <si>
    <t>4.</t>
  </si>
  <si>
    <t>Доход от сдачи общедомового имущества</t>
  </si>
  <si>
    <t>5.</t>
  </si>
  <si>
    <t>Расход от сдачи общедомового имущества (эл.энергия)</t>
  </si>
  <si>
    <t>6.</t>
  </si>
  <si>
    <t xml:space="preserve">Расходы на оснащение помещения </t>
  </si>
  <si>
    <t>7.</t>
  </si>
  <si>
    <t>Доход от сдачи общедомового имущества по договору с ГУ МВД</t>
  </si>
  <si>
    <t>Расход от сдачи общедомового имущества по договору с ГУ МВД (эл.энергия)</t>
  </si>
  <si>
    <t>Расходы на оснащение помещения</t>
  </si>
  <si>
    <t>8.</t>
  </si>
  <si>
    <t>9.</t>
  </si>
  <si>
    <t>Смета расходов и доходов на содержание поста консьержек с 2020г</t>
  </si>
  <si>
    <t>Доход от сдачи общедомового имущества по договору с АО "ЭР-Телеком Холдинг" (провайдер Дом.ру)</t>
  </si>
  <si>
    <t>Расход от сдачи общедомового имущества по договору с АО "ЭР-Телеком Холдинг" (провайдер Дом.ру)</t>
  </si>
  <si>
    <t>расходов в 2020г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</si>
</sst>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2"/>
      <name val="Candara"/>
      <family val="2"/>
      <charset val="204"/>
    </font>
    <font>
      <sz val="11"/>
      <name val="Candara"/>
      <family val="2"/>
      <charset val="204"/>
    </font>
    <font>
      <sz val="10"/>
      <name val="Candara"/>
      <family val="2"/>
      <charset val="204"/>
    </font>
    <font>
      <b/>
      <sz val="12"/>
      <name val="Candara"/>
      <family val="2"/>
      <charset val="204"/>
    </font>
    <font>
      <sz val="14"/>
      <name val="Candara"/>
      <family val="2"/>
      <charset val="204"/>
    </font>
    <font>
      <b/>
      <i/>
      <sz val="11"/>
      <name val="Candara"/>
      <family val="2"/>
      <charset val="204"/>
    </font>
    <font>
      <b/>
      <i/>
      <sz val="10"/>
      <name val="Candara"/>
      <family val="2"/>
      <charset val="204"/>
    </font>
    <font>
      <b/>
      <sz val="11"/>
      <name val="Candara"/>
      <family val="2"/>
      <charset val="204"/>
    </font>
    <font>
      <b/>
      <sz val="10"/>
      <name val="Candara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i/>
      <sz val="11"/>
      <name val="Candara"/>
      <family val="2"/>
      <charset val="204"/>
    </font>
    <font>
      <i/>
      <sz val="11"/>
      <color rgb="FFFF0000"/>
      <name val="Candar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3" fillId="0" borderId="0" xfId="0" applyFont="1"/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4" fontId="2" fillId="2" borderId="3" xfId="0" applyNumberFormat="1" applyFont="1" applyFill="1" applyBorder="1" applyAlignment="1">
      <alignment horizontal="center" vertical="center"/>
    </xf>
    <xf numFmtId="4" fontId="3" fillId="0" borderId="8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center"/>
    </xf>
    <xf numFmtId="4" fontId="2" fillId="0" borderId="0" xfId="0" applyNumberFormat="1" applyFont="1"/>
    <xf numFmtId="4" fontId="7" fillId="0" borderId="3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4" fontId="4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" fontId="11" fillId="0" borderId="0" xfId="0" applyNumberFormat="1" applyFont="1"/>
    <xf numFmtId="0" fontId="12" fillId="0" borderId="0" xfId="0" applyFont="1"/>
    <xf numFmtId="0" fontId="1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2" borderId="3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/>
    </xf>
    <xf numFmtId="4" fontId="2" fillId="0" borderId="3" xfId="0" applyNumberFormat="1" applyFont="1" applyBorder="1"/>
    <xf numFmtId="0" fontId="13" fillId="0" borderId="3" xfId="0" applyFont="1" applyBorder="1"/>
    <xf numFmtId="3" fontId="13" fillId="0" borderId="3" xfId="0" applyNumberFormat="1" applyFont="1" applyBorder="1"/>
    <xf numFmtId="3" fontId="13" fillId="0" borderId="3" xfId="0" applyNumberFormat="1" applyFont="1" applyBorder="1" applyAlignment="1">
      <alignment horizontal="center"/>
    </xf>
    <xf numFmtId="4" fontId="13" fillId="0" borderId="3" xfId="0" applyNumberFormat="1" applyFont="1" applyBorder="1"/>
    <xf numFmtId="0" fontId="13" fillId="0" borderId="0" xfId="0" applyFont="1"/>
    <xf numFmtId="164" fontId="2" fillId="0" borderId="3" xfId="0" applyNumberFormat="1" applyFont="1" applyBorder="1"/>
    <xf numFmtId="3" fontId="2" fillId="0" borderId="0" xfId="0" applyNumberFormat="1" applyFont="1"/>
    <xf numFmtId="0" fontId="1" fillId="0" borderId="3" xfId="0" applyFont="1" applyBorder="1"/>
    <xf numFmtId="3" fontId="1" fillId="0" borderId="3" xfId="0" applyNumberFormat="1" applyFont="1" applyBorder="1"/>
    <xf numFmtId="3" fontId="1" fillId="0" borderId="3" xfId="0" applyNumberFormat="1" applyFont="1" applyBorder="1" applyAlignment="1">
      <alignment horizontal="center"/>
    </xf>
    <xf numFmtId="4" fontId="4" fillId="0" borderId="3" xfId="0" applyNumberFormat="1" applyFont="1" applyBorder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3" fontId="2" fillId="0" borderId="0" xfId="0" applyNumberFormat="1" applyFont="1" applyAlignment="1">
      <alignment horizontal="center"/>
    </xf>
    <xf numFmtId="3" fontId="8" fillId="0" borderId="0" xfId="0" applyNumberFormat="1" applyFont="1"/>
    <xf numFmtId="4" fontId="8" fillId="0" borderId="0" xfId="0" applyNumberFormat="1" applyFont="1"/>
    <xf numFmtId="3" fontId="13" fillId="0" borderId="0" xfId="0" applyNumberFormat="1" applyFont="1"/>
    <xf numFmtId="164" fontId="8" fillId="0" borderId="3" xfId="0" applyNumberFormat="1" applyFont="1" applyBorder="1"/>
    <xf numFmtId="3" fontId="8" fillId="0" borderId="3" xfId="0" applyNumberFormat="1" applyFont="1" applyBorder="1"/>
    <xf numFmtId="4" fontId="8" fillId="0" borderId="3" xfId="0" applyNumberFormat="1" applyFont="1" applyBorder="1"/>
    <xf numFmtId="1" fontId="14" fillId="0" borderId="0" xfId="0" applyNumberFormat="1" applyFont="1"/>
    <xf numFmtId="1" fontId="2" fillId="0" borderId="0" xfId="0" applyNumberFormat="1" applyFont="1"/>
    <xf numFmtId="0" fontId="2" fillId="3" borderId="7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13" xfId="0" applyFont="1" applyFill="1" applyBorder="1"/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 wrapText="1"/>
    </xf>
    <xf numFmtId="4" fontId="2" fillId="3" borderId="3" xfId="0" applyNumberFormat="1" applyFont="1" applyFill="1" applyBorder="1"/>
    <xf numFmtId="0" fontId="1" fillId="3" borderId="3" xfId="0" applyFont="1" applyFill="1" applyBorder="1"/>
    <xf numFmtId="3" fontId="1" fillId="3" borderId="3" xfId="0" applyNumberFormat="1" applyFont="1" applyFill="1" applyBorder="1"/>
    <xf numFmtId="3" fontId="1" fillId="3" borderId="3" xfId="0" applyNumberFormat="1" applyFont="1" applyFill="1" applyBorder="1" applyAlignment="1">
      <alignment horizontal="center"/>
    </xf>
    <xf numFmtId="4" fontId="4" fillId="3" borderId="3" xfId="0" applyNumberFormat="1" applyFont="1" applyFill="1" applyBorder="1"/>
    <xf numFmtId="0" fontId="0" fillId="0" borderId="0" xfId="0" applyAlignment="1">
      <alignment horizontal="left"/>
    </xf>
    <xf numFmtId="3" fontId="2" fillId="0" borderId="3" xfId="0" applyNumberFormat="1" applyFont="1" applyBorder="1" applyAlignment="1"/>
    <xf numFmtId="3" fontId="1" fillId="0" borderId="3" xfId="0" applyNumberFormat="1" applyFont="1" applyBorder="1" applyAlignment="1"/>
    <xf numFmtId="0" fontId="2" fillId="3" borderId="0" xfId="0" applyFont="1" applyFill="1" applyBorder="1" applyAlignment="1"/>
    <xf numFmtId="3" fontId="2" fillId="3" borderId="3" xfId="0" applyNumberFormat="1" applyFont="1" applyFill="1" applyBorder="1" applyAlignment="1"/>
    <xf numFmtId="0" fontId="2" fillId="0" borderId="3" xfId="0" applyFont="1" applyBorder="1" applyAlignment="1"/>
    <xf numFmtId="0" fontId="1" fillId="0" borderId="3" xfId="0" applyFont="1" applyBorder="1" applyAlignment="1"/>
    <xf numFmtId="0" fontId="2" fillId="3" borderId="3" xfId="0" applyFont="1" applyFill="1" applyBorder="1" applyAlignment="1"/>
    <xf numFmtId="0" fontId="10" fillId="0" borderId="0" xfId="0" applyFont="1" applyAlignment="1">
      <alignment horizontal="left" wrapText="1"/>
    </xf>
    <xf numFmtId="0" fontId="8" fillId="0" borderId="8" xfId="0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4" fontId="8" fillId="0" borderId="8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right" wrapText="1"/>
    </xf>
    <xf numFmtId="4" fontId="4" fillId="0" borderId="8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8" fillId="0" borderId="3" xfId="0" applyFont="1" applyBorder="1" applyAlignment="1">
      <alignment horizontal="right" wrapText="1"/>
    </xf>
    <xf numFmtId="0" fontId="4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right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&#1058;&#1057;&#1046;%20&#1065;&#1077;&#1088;&#1073;&#1072;&#1082;&#1086;&#1074;&#1072;/&#1054;&#1058;&#1063;&#1045;&#1058;&#1067;/&#1054;&#1090;&#1095;&#1077;&#1090;&#1099;%20&#1089;&#1086;&#1073;&#1089;&#1090;&#1074;&#1077;&#1085;&#1085;&#1080;&#1082;&#1072;&#1084;/2018/&#1086;&#1090;&#1095;&#1077;&#1090;%20&#1089;&#1086;&#1073;&#1089;&#1090;&#1074;&#1077;&#1085;&#1085;&#1080;&#1082;&#1072;&#1084;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.лист"/>
      <sheetName val="дох.и расх."/>
      <sheetName val="сод.дома"/>
      <sheetName val="смета на19"/>
      <sheetName val="консьержи"/>
      <sheetName val="ден.ср."/>
      <sheetName val="ОДН"/>
      <sheetName val="нач.год"/>
      <sheetName val="показ.ОДН"/>
    </sheetNames>
    <sheetDataSet>
      <sheetData sheetId="0" refreshError="1"/>
      <sheetData sheetId="1" refreshError="1"/>
      <sheetData sheetId="2">
        <row r="60">
          <cell r="C60">
            <v>186608.5102999988</v>
          </cell>
          <cell r="D60">
            <v>256192.77004134795</v>
          </cell>
          <cell r="E60">
            <v>0</v>
          </cell>
          <cell r="F60">
            <v>-69584.91974134816</v>
          </cell>
          <cell r="I60">
            <v>-69191.404683952773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opLeftCell="A47" workbookViewId="0">
      <selection activeCell="C10" sqref="C10"/>
    </sheetView>
  </sheetViews>
  <sheetFormatPr defaultRowHeight="15"/>
  <cols>
    <col min="1" max="1" width="28.7109375" style="53" customWidth="1"/>
    <col min="2" max="2" width="23.5703125" style="54" customWidth="1"/>
    <col min="3" max="3" width="22.7109375" style="54" customWidth="1"/>
    <col min="4" max="4" width="22.7109375" customWidth="1"/>
    <col min="5" max="5" width="17.5703125" style="56" customWidth="1"/>
    <col min="6" max="6" width="17.5703125" style="56" hidden="1" customWidth="1"/>
    <col min="7" max="7" width="17.5703125" style="56" customWidth="1"/>
    <col min="8" max="8" width="15.28515625" hidden="1" customWidth="1"/>
    <col min="9" max="9" width="22.7109375" hidden="1" customWidth="1"/>
    <col min="10" max="12" width="17.5703125" style="57" hidden="1" customWidth="1"/>
    <col min="13" max="13" width="15.28515625" hidden="1" customWidth="1"/>
    <col min="257" max="257" width="28.7109375" customWidth="1"/>
    <col min="258" max="258" width="23.5703125" customWidth="1"/>
    <col min="259" max="260" width="22.7109375" customWidth="1"/>
    <col min="261" max="261" width="17.5703125" customWidth="1"/>
    <col min="262" max="262" width="0" hidden="1" customWidth="1"/>
    <col min="263" max="263" width="17.5703125" customWidth="1"/>
    <col min="264" max="269" width="0" hidden="1" customWidth="1"/>
    <col min="513" max="513" width="28.7109375" customWidth="1"/>
    <col min="514" max="514" width="23.5703125" customWidth="1"/>
    <col min="515" max="516" width="22.7109375" customWidth="1"/>
    <col min="517" max="517" width="17.5703125" customWidth="1"/>
    <col min="518" max="518" width="0" hidden="1" customWidth="1"/>
    <col min="519" max="519" width="17.5703125" customWidth="1"/>
    <col min="520" max="525" width="0" hidden="1" customWidth="1"/>
    <col min="769" max="769" width="28.7109375" customWidth="1"/>
    <col min="770" max="770" width="23.5703125" customWidth="1"/>
    <col min="771" max="772" width="22.7109375" customWidth="1"/>
    <col min="773" max="773" width="17.5703125" customWidth="1"/>
    <col min="774" max="774" width="0" hidden="1" customWidth="1"/>
    <col min="775" max="775" width="17.5703125" customWidth="1"/>
    <col min="776" max="781" width="0" hidden="1" customWidth="1"/>
    <col min="1025" max="1025" width="28.7109375" customWidth="1"/>
    <col min="1026" max="1026" width="23.5703125" customWidth="1"/>
    <col min="1027" max="1028" width="22.7109375" customWidth="1"/>
    <col min="1029" max="1029" width="17.5703125" customWidth="1"/>
    <col min="1030" max="1030" width="0" hidden="1" customWidth="1"/>
    <col min="1031" max="1031" width="17.5703125" customWidth="1"/>
    <col min="1032" max="1037" width="0" hidden="1" customWidth="1"/>
    <col min="1281" max="1281" width="28.7109375" customWidth="1"/>
    <col min="1282" max="1282" width="23.5703125" customWidth="1"/>
    <col min="1283" max="1284" width="22.7109375" customWidth="1"/>
    <col min="1285" max="1285" width="17.5703125" customWidth="1"/>
    <col min="1286" max="1286" width="0" hidden="1" customWidth="1"/>
    <col min="1287" max="1287" width="17.5703125" customWidth="1"/>
    <col min="1288" max="1293" width="0" hidden="1" customWidth="1"/>
    <col min="1537" max="1537" width="28.7109375" customWidth="1"/>
    <col min="1538" max="1538" width="23.5703125" customWidth="1"/>
    <col min="1539" max="1540" width="22.7109375" customWidth="1"/>
    <col min="1541" max="1541" width="17.5703125" customWidth="1"/>
    <col min="1542" max="1542" width="0" hidden="1" customWidth="1"/>
    <col min="1543" max="1543" width="17.5703125" customWidth="1"/>
    <col min="1544" max="1549" width="0" hidden="1" customWidth="1"/>
    <col min="1793" max="1793" width="28.7109375" customWidth="1"/>
    <col min="1794" max="1794" width="23.5703125" customWidth="1"/>
    <col min="1795" max="1796" width="22.7109375" customWidth="1"/>
    <col min="1797" max="1797" width="17.5703125" customWidth="1"/>
    <col min="1798" max="1798" width="0" hidden="1" customWidth="1"/>
    <col min="1799" max="1799" width="17.5703125" customWidth="1"/>
    <col min="1800" max="1805" width="0" hidden="1" customWidth="1"/>
    <col min="2049" max="2049" width="28.7109375" customWidth="1"/>
    <col min="2050" max="2050" width="23.5703125" customWidth="1"/>
    <col min="2051" max="2052" width="22.7109375" customWidth="1"/>
    <col min="2053" max="2053" width="17.5703125" customWidth="1"/>
    <col min="2054" max="2054" width="0" hidden="1" customWidth="1"/>
    <col min="2055" max="2055" width="17.5703125" customWidth="1"/>
    <col min="2056" max="2061" width="0" hidden="1" customWidth="1"/>
    <col min="2305" max="2305" width="28.7109375" customWidth="1"/>
    <col min="2306" max="2306" width="23.5703125" customWidth="1"/>
    <col min="2307" max="2308" width="22.7109375" customWidth="1"/>
    <col min="2309" max="2309" width="17.5703125" customWidth="1"/>
    <col min="2310" max="2310" width="0" hidden="1" customWidth="1"/>
    <col min="2311" max="2311" width="17.5703125" customWidth="1"/>
    <col min="2312" max="2317" width="0" hidden="1" customWidth="1"/>
    <col min="2561" max="2561" width="28.7109375" customWidth="1"/>
    <col min="2562" max="2562" width="23.5703125" customWidth="1"/>
    <col min="2563" max="2564" width="22.7109375" customWidth="1"/>
    <col min="2565" max="2565" width="17.5703125" customWidth="1"/>
    <col min="2566" max="2566" width="0" hidden="1" customWidth="1"/>
    <col min="2567" max="2567" width="17.5703125" customWidth="1"/>
    <col min="2568" max="2573" width="0" hidden="1" customWidth="1"/>
    <col min="2817" max="2817" width="28.7109375" customWidth="1"/>
    <col min="2818" max="2818" width="23.5703125" customWidth="1"/>
    <col min="2819" max="2820" width="22.7109375" customWidth="1"/>
    <col min="2821" max="2821" width="17.5703125" customWidth="1"/>
    <col min="2822" max="2822" width="0" hidden="1" customWidth="1"/>
    <col min="2823" max="2823" width="17.5703125" customWidth="1"/>
    <col min="2824" max="2829" width="0" hidden="1" customWidth="1"/>
    <col min="3073" max="3073" width="28.7109375" customWidth="1"/>
    <col min="3074" max="3074" width="23.5703125" customWidth="1"/>
    <col min="3075" max="3076" width="22.7109375" customWidth="1"/>
    <col min="3077" max="3077" width="17.5703125" customWidth="1"/>
    <col min="3078" max="3078" width="0" hidden="1" customWidth="1"/>
    <col min="3079" max="3079" width="17.5703125" customWidth="1"/>
    <col min="3080" max="3085" width="0" hidden="1" customWidth="1"/>
    <col min="3329" max="3329" width="28.7109375" customWidth="1"/>
    <col min="3330" max="3330" width="23.5703125" customWidth="1"/>
    <col min="3331" max="3332" width="22.7109375" customWidth="1"/>
    <col min="3333" max="3333" width="17.5703125" customWidth="1"/>
    <col min="3334" max="3334" width="0" hidden="1" customWidth="1"/>
    <col min="3335" max="3335" width="17.5703125" customWidth="1"/>
    <col min="3336" max="3341" width="0" hidden="1" customWidth="1"/>
    <col min="3585" max="3585" width="28.7109375" customWidth="1"/>
    <col min="3586" max="3586" width="23.5703125" customWidth="1"/>
    <col min="3587" max="3588" width="22.7109375" customWidth="1"/>
    <col min="3589" max="3589" width="17.5703125" customWidth="1"/>
    <col min="3590" max="3590" width="0" hidden="1" customWidth="1"/>
    <col min="3591" max="3591" width="17.5703125" customWidth="1"/>
    <col min="3592" max="3597" width="0" hidden="1" customWidth="1"/>
    <col min="3841" max="3841" width="28.7109375" customWidth="1"/>
    <col min="3842" max="3842" width="23.5703125" customWidth="1"/>
    <col min="3843" max="3844" width="22.7109375" customWidth="1"/>
    <col min="3845" max="3845" width="17.5703125" customWidth="1"/>
    <col min="3846" max="3846" width="0" hidden="1" customWidth="1"/>
    <col min="3847" max="3847" width="17.5703125" customWidth="1"/>
    <col min="3848" max="3853" width="0" hidden="1" customWidth="1"/>
    <col min="4097" max="4097" width="28.7109375" customWidth="1"/>
    <col min="4098" max="4098" width="23.5703125" customWidth="1"/>
    <col min="4099" max="4100" width="22.7109375" customWidth="1"/>
    <col min="4101" max="4101" width="17.5703125" customWidth="1"/>
    <col min="4102" max="4102" width="0" hidden="1" customWidth="1"/>
    <col min="4103" max="4103" width="17.5703125" customWidth="1"/>
    <col min="4104" max="4109" width="0" hidden="1" customWidth="1"/>
    <col min="4353" max="4353" width="28.7109375" customWidth="1"/>
    <col min="4354" max="4354" width="23.5703125" customWidth="1"/>
    <col min="4355" max="4356" width="22.7109375" customWidth="1"/>
    <col min="4357" max="4357" width="17.5703125" customWidth="1"/>
    <col min="4358" max="4358" width="0" hidden="1" customWidth="1"/>
    <col min="4359" max="4359" width="17.5703125" customWidth="1"/>
    <col min="4360" max="4365" width="0" hidden="1" customWidth="1"/>
    <col min="4609" max="4609" width="28.7109375" customWidth="1"/>
    <col min="4610" max="4610" width="23.5703125" customWidth="1"/>
    <col min="4611" max="4612" width="22.7109375" customWidth="1"/>
    <col min="4613" max="4613" width="17.5703125" customWidth="1"/>
    <col min="4614" max="4614" width="0" hidden="1" customWidth="1"/>
    <col min="4615" max="4615" width="17.5703125" customWidth="1"/>
    <col min="4616" max="4621" width="0" hidden="1" customWidth="1"/>
    <col min="4865" max="4865" width="28.7109375" customWidth="1"/>
    <col min="4866" max="4866" width="23.5703125" customWidth="1"/>
    <col min="4867" max="4868" width="22.7109375" customWidth="1"/>
    <col min="4869" max="4869" width="17.5703125" customWidth="1"/>
    <col min="4870" max="4870" width="0" hidden="1" customWidth="1"/>
    <col min="4871" max="4871" width="17.5703125" customWidth="1"/>
    <col min="4872" max="4877" width="0" hidden="1" customWidth="1"/>
    <col min="5121" max="5121" width="28.7109375" customWidth="1"/>
    <col min="5122" max="5122" width="23.5703125" customWidth="1"/>
    <col min="5123" max="5124" width="22.7109375" customWidth="1"/>
    <col min="5125" max="5125" width="17.5703125" customWidth="1"/>
    <col min="5126" max="5126" width="0" hidden="1" customWidth="1"/>
    <col min="5127" max="5127" width="17.5703125" customWidth="1"/>
    <col min="5128" max="5133" width="0" hidden="1" customWidth="1"/>
    <col min="5377" max="5377" width="28.7109375" customWidth="1"/>
    <col min="5378" max="5378" width="23.5703125" customWidth="1"/>
    <col min="5379" max="5380" width="22.7109375" customWidth="1"/>
    <col min="5381" max="5381" width="17.5703125" customWidth="1"/>
    <col min="5382" max="5382" width="0" hidden="1" customWidth="1"/>
    <col min="5383" max="5383" width="17.5703125" customWidth="1"/>
    <col min="5384" max="5389" width="0" hidden="1" customWidth="1"/>
    <col min="5633" max="5633" width="28.7109375" customWidth="1"/>
    <col min="5634" max="5634" width="23.5703125" customWidth="1"/>
    <col min="5635" max="5636" width="22.7109375" customWidth="1"/>
    <col min="5637" max="5637" width="17.5703125" customWidth="1"/>
    <col min="5638" max="5638" width="0" hidden="1" customWidth="1"/>
    <col min="5639" max="5639" width="17.5703125" customWidth="1"/>
    <col min="5640" max="5645" width="0" hidden="1" customWidth="1"/>
    <col min="5889" max="5889" width="28.7109375" customWidth="1"/>
    <col min="5890" max="5890" width="23.5703125" customWidth="1"/>
    <col min="5891" max="5892" width="22.7109375" customWidth="1"/>
    <col min="5893" max="5893" width="17.5703125" customWidth="1"/>
    <col min="5894" max="5894" width="0" hidden="1" customWidth="1"/>
    <col min="5895" max="5895" width="17.5703125" customWidth="1"/>
    <col min="5896" max="5901" width="0" hidden="1" customWidth="1"/>
    <col min="6145" max="6145" width="28.7109375" customWidth="1"/>
    <col min="6146" max="6146" width="23.5703125" customWidth="1"/>
    <col min="6147" max="6148" width="22.7109375" customWidth="1"/>
    <col min="6149" max="6149" width="17.5703125" customWidth="1"/>
    <col min="6150" max="6150" width="0" hidden="1" customWidth="1"/>
    <col min="6151" max="6151" width="17.5703125" customWidth="1"/>
    <col min="6152" max="6157" width="0" hidden="1" customWidth="1"/>
    <col min="6401" max="6401" width="28.7109375" customWidth="1"/>
    <col min="6402" max="6402" width="23.5703125" customWidth="1"/>
    <col min="6403" max="6404" width="22.7109375" customWidth="1"/>
    <col min="6405" max="6405" width="17.5703125" customWidth="1"/>
    <col min="6406" max="6406" width="0" hidden="1" customWidth="1"/>
    <col min="6407" max="6407" width="17.5703125" customWidth="1"/>
    <col min="6408" max="6413" width="0" hidden="1" customWidth="1"/>
    <col min="6657" max="6657" width="28.7109375" customWidth="1"/>
    <col min="6658" max="6658" width="23.5703125" customWidth="1"/>
    <col min="6659" max="6660" width="22.7109375" customWidth="1"/>
    <col min="6661" max="6661" width="17.5703125" customWidth="1"/>
    <col min="6662" max="6662" width="0" hidden="1" customWidth="1"/>
    <col min="6663" max="6663" width="17.5703125" customWidth="1"/>
    <col min="6664" max="6669" width="0" hidden="1" customWidth="1"/>
    <col min="6913" max="6913" width="28.7109375" customWidth="1"/>
    <col min="6914" max="6914" width="23.5703125" customWidth="1"/>
    <col min="6915" max="6916" width="22.7109375" customWidth="1"/>
    <col min="6917" max="6917" width="17.5703125" customWidth="1"/>
    <col min="6918" max="6918" width="0" hidden="1" customWidth="1"/>
    <col min="6919" max="6919" width="17.5703125" customWidth="1"/>
    <col min="6920" max="6925" width="0" hidden="1" customWidth="1"/>
    <col min="7169" max="7169" width="28.7109375" customWidth="1"/>
    <col min="7170" max="7170" width="23.5703125" customWidth="1"/>
    <col min="7171" max="7172" width="22.7109375" customWidth="1"/>
    <col min="7173" max="7173" width="17.5703125" customWidth="1"/>
    <col min="7174" max="7174" width="0" hidden="1" customWidth="1"/>
    <col min="7175" max="7175" width="17.5703125" customWidth="1"/>
    <col min="7176" max="7181" width="0" hidden="1" customWidth="1"/>
    <col min="7425" max="7425" width="28.7109375" customWidth="1"/>
    <col min="7426" max="7426" width="23.5703125" customWidth="1"/>
    <col min="7427" max="7428" width="22.7109375" customWidth="1"/>
    <col min="7429" max="7429" width="17.5703125" customWidth="1"/>
    <col min="7430" max="7430" width="0" hidden="1" customWidth="1"/>
    <col min="7431" max="7431" width="17.5703125" customWidth="1"/>
    <col min="7432" max="7437" width="0" hidden="1" customWidth="1"/>
    <col min="7681" max="7681" width="28.7109375" customWidth="1"/>
    <col min="7682" max="7682" width="23.5703125" customWidth="1"/>
    <col min="7683" max="7684" width="22.7109375" customWidth="1"/>
    <col min="7685" max="7685" width="17.5703125" customWidth="1"/>
    <col min="7686" max="7686" width="0" hidden="1" customWidth="1"/>
    <col min="7687" max="7687" width="17.5703125" customWidth="1"/>
    <col min="7688" max="7693" width="0" hidden="1" customWidth="1"/>
    <col min="7937" max="7937" width="28.7109375" customWidth="1"/>
    <col min="7938" max="7938" width="23.5703125" customWidth="1"/>
    <col min="7939" max="7940" width="22.7109375" customWidth="1"/>
    <col min="7941" max="7941" width="17.5703125" customWidth="1"/>
    <col min="7942" max="7942" width="0" hidden="1" customWidth="1"/>
    <col min="7943" max="7943" width="17.5703125" customWidth="1"/>
    <col min="7944" max="7949" width="0" hidden="1" customWidth="1"/>
    <col min="8193" max="8193" width="28.7109375" customWidth="1"/>
    <col min="8194" max="8194" width="23.5703125" customWidth="1"/>
    <col min="8195" max="8196" width="22.7109375" customWidth="1"/>
    <col min="8197" max="8197" width="17.5703125" customWidth="1"/>
    <col min="8198" max="8198" width="0" hidden="1" customWidth="1"/>
    <col min="8199" max="8199" width="17.5703125" customWidth="1"/>
    <col min="8200" max="8205" width="0" hidden="1" customWidth="1"/>
    <col min="8449" max="8449" width="28.7109375" customWidth="1"/>
    <col min="8450" max="8450" width="23.5703125" customWidth="1"/>
    <col min="8451" max="8452" width="22.7109375" customWidth="1"/>
    <col min="8453" max="8453" width="17.5703125" customWidth="1"/>
    <col min="8454" max="8454" width="0" hidden="1" customWidth="1"/>
    <col min="8455" max="8455" width="17.5703125" customWidth="1"/>
    <col min="8456" max="8461" width="0" hidden="1" customWidth="1"/>
    <col min="8705" max="8705" width="28.7109375" customWidth="1"/>
    <col min="8706" max="8706" width="23.5703125" customWidth="1"/>
    <col min="8707" max="8708" width="22.7109375" customWidth="1"/>
    <col min="8709" max="8709" width="17.5703125" customWidth="1"/>
    <col min="8710" max="8710" width="0" hidden="1" customWidth="1"/>
    <col min="8711" max="8711" width="17.5703125" customWidth="1"/>
    <col min="8712" max="8717" width="0" hidden="1" customWidth="1"/>
    <col min="8961" max="8961" width="28.7109375" customWidth="1"/>
    <col min="8962" max="8962" width="23.5703125" customWidth="1"/>
    <col min="8963" max="8964" width="22.7109375" customWidth="1"/>
    <col min="8965" max="8965" width="17.5703125" customWidth="1"/>
    <col min="8966" max="8966" width="0" hidden="1" customWidth="1"/>
    <col min="8967" max="8967" width="17.5703125" customWidth="1"/>
    <col min="8968" max="8973" width="0" hidden="1" customWidth="1"/>
    <col min="9217" max="9217" width="28.7109375" customWidth="1"/>
    <col min="9218" max="9218" width="23.5703125" customWidth="1"/>
    <col min="9219" max="9220" width="22.7109375" customWidth="1"/>
    <col min="9221" max="9221" width="17.5703125" customWidth="1"/>
    <col min="9222" max="9222" width="0" hidden="1" customWidth="1"/>
    <col min="9223" max="9223" width="17.5703125" customWidth="1"/>
    <col min="9224" max="9229" width="0" hidden="1" customWidth="1"/>
    <col min="9473" max="9473" width="28.7109375" customWidth="1"/>
    <col min="9474" max="9474" width="23.5703125" customWidth="1"/>
    <col min="9475" max="9476" width="22.7109375" customWidth="1"/>
    <col min="9477" max="9477" width="17.5703125" customWidth="1"/>
    <col min="9478" max="9478" width="0" hidden="1" customWidth="1"/>
    <col min="9479" max="9479" width="17.5703125" customWidth="1"/>
    <col min="9480" max="9485" width="0" hidden="1" customWidth="1"/>
    <col min="9729" max="9729" width="28.7109375" customWidth="1"/>
    <col min="9730" max="9730" width="23.5703125" customWidth="1"/>
    <col min="9731" max="9732" width="22.7109375" customWidth="1"/>
    <col min="9733" max="9733" width="17.5703125" customWidth="1"/>
    <col min="9734" max="9734" width="0" hidden="1" customWidth="1"/>
    <col min="9735" max="9735" width="17.5703125" customWidth="1"/>
    <col min="9736" max="9741" width="0" hidden="1" customWidth="1"/>
    <col min="9985" max="9985" width="28.7109375" customWidth="1"/>
    <col min="9986" max="9986" width="23.5703125" customWidth="1"/>
    <col min="9987" max="9988" width="22.7109375" customWidth="1"/>
    <col min="9989" max="9989" width="17.5703125" customWidth="1"/>
    <col min="9990" max="9990" width="0" hidden="1" customWidth="1"/>
    <col min="9991" max="9991" width="17.5703125" customWidth="1"/>
    <col min="9992" max="9997" width="0" hidden="1" customWidth="1"/>
    <col min="10241" max="10241" width="28.7109375" customWidth="1"/>
    <col min="10242" max="10242" width="23.5703125" customWidth="1"/>
    <col min="10243" max="10244" width="22.7109375" customWidth="1"/>
    <col min="10245" max="10245" width="17.5703125" customWidth="1"/>
    <col min="10246" max="10246" width="0" hidden="1" customWidth="1"/>
    <col min="10247" max="10247" width="17.5703125" customWidth="1"/>
    <col min="10248" max="10253" width="0" hidden="1" customWidth="1"/>
    <col min="10497" max="10497" width="28.7109375" customWidth="1"/>
    <col min="10498" max="10498" width="23.5703125" customWidth="1"/>
    <col min="10499" max="10500" width="22.7109375" customWidth="1"/>
    <col min="10501" max="10501" width="17.5703125" customWidth="1"/>
    <col min="10502" max="10502" width="0" hidden="1" customWidth="1"/>
    <col min="10503" max="10503" width="17.5703125" customWidth="1"/>
    <col min="10504" max="10509" width="0" hidden="1" customWidth="1"/>
    <col min="10753" max="10753" width="28.7109375" customWidth="1"/>
    <col min="10754" max="10754" width="23.5703125" customWidth="1"/>
    <col min="10755" max="10756" width="22.7109375" customWidth="1"/>
    <col min="10757" max="10757" width="17.5703125" customWidth="1"/>
    <col min="10758" max="10758" width="0" hidden="1" customWidth="1"/>
    <col min="10759" max="10759" width="17.5703125" customWidth="1"/>
    <col min="10760" max="10765" width="0" hidden="1" customWidth="1"/>
    <col min="11009" max="11009" width="28.7109375" customWidth="1"/>
    <col min="11010" max="11010" width="23.5703125" customWidth="1"/>
    <col min="11011" max="11012" width="22.7109375" customWidth="1"/>
    <col min="11013" max="11013" width="17.5703125" customWidth="1"/>
    <col min="11014" max="11014" width="0" hidden="1" customWidth="1"/>
    <col min="11015" max="11015" width="17.5703125" customWidth="1"/>
    <col min="11016" max="11021" width="0" hidden="1" customWidth="1"/>
    <col min="11265" max="11265" width="28.7109375" customWidth="1"/>
    <col min="11266" max="11266" width="23.5703125" customWidth="1"/>
    <col min="11267" max="11268" width="22.7109375" customWidth="1"/>
    <col min="11269" max="11269" width="17.5703125" customWidth="1"/>
    <col min="11270" max="11270" width="0" hidden="1" customWidth="1"/>
    <col min="11271" max="11271" width="17.5703125" customWidth="1"/>
    <col min="11272" max="11277" width="0" hidden="1" customWidth="1"/>
    <col min="11521" max="11521" width="28.7109375" customWidth="1"/>
    <col min="11522" max="11522" width="23.5703125" customWidth="1"/>
    <col min="11523" max="11524" width="22.7109375" customWidth="1"/>
    <col min="11525" max="11525" width="17.5703125" customWidth="1"/>
    <col min="11526" max="11526" width="0" hidden="1" customWidth="1"/>
    <col min="11527" max="11527" width="17.5703125" customWidth="1"/>
    <col min="11528" max="11533" width="0" hidden="1" customWidth="1"/>
    <col min="11777" max="11777" width="28.7109375" customWidth="1"/>
    <col min="11778" max="11778" width="23.5703125" customWidth="1"/>
    <col min="11779" max="11780" width="22.7109375" customWidth="1"/>
    <col min="11781" max="11781" width="17.5703125" customWidth="1"/>
    <col min="11782" max="11782" width="0" hidden="1" customWidth="1"/>
    <col min="11783" max="11783" width="17.5703125" customWidth="1"/>
    <col min="11784" max="11789" width="0" hidden="1" customWidth="1"/>
    <col min="12033" max="12033" width="28.7109375" customWidth="1"/>
    <col min="12034" max="12034" width="23.5703125" customWidth="1"/>
    <col min="12035" max="12036" width="22.7109375" customWidth="1"/>
    <col min="12037" max="12037" width="17.5703125" customWidth="1"/>
    <col min="12038" max="12038" width="0" hidden="1" customWidth="1"/>
    <col min="12039" max="12039" width="17.5703125" customWidth="1"/>
    <col min="12040" max="12045" width="0" hidden="1" customWidth="1"/>
    <col min="12289" max="12289" width="28.7109375" customWidth="1"/>
    <col min="12290" max="12290" width="23.5703125" customWidth="1"/>
    <col min="12291" max="12292" width="22.7109375" customWidth="1"/>
    <col min="12293" max="12293" width="17.5703125" customWidth="1"/>
    <col min="12294" max="12294" width="0" hidden="1" customWidth="1"/>
    <col min="12295" max="12295" width="17.5703125" customWidth="1"/>
    <col min="12296" max="12301" width="0" hidden="1" customWidth="1"/>
    <col min="12545" max="12545" width="28.7109375" customWidth="1"/>
    <col min="12546" max="12546" width="23.5703125" customWidth="1"/>
    <col min="12547" max="12548" width="22.7109375" customWidth="1"/>
    <col min="12549" max="12549" width="17.5703125" customWidth="1"/>
    <col min="12550" max="12550" width="0" hidden="1" customWidth="1"/>
    <col min="12551" max="12551" width="17.5703125" customWidth="1"/>
    <col min="12552" max="12557" width="0" hidden="1" customWidth="1"/>
    <col min="12801" max="12801" width="28.7109375" customWidth="1"/>
    <col min="12802" max="12802" width="23.5703125" customWidth="1"/>
    <col min="12803" max="12804" width="22.7109375" customWidth="1"/>
    <col min="12805" max="12805" width="17.5703125" customWidth="1"/>
    <col min="12806" max="12806" width="0" hidden="1" customWidth="1"/>
    <col min="12807" max="12807" width="17.5703125" customWidth="1"/>
    <col min="12808" max="12813" width="0" hidden="1" customWidth="1"/>
    <col min="13057" max="13057" width="28.7109375" customWidth="1"/>
    <col min="13058" max="13058" width="23.5703125" customWidth="1"/>
    <col min="13059" max="13060" width="22.7109375" customWidth="1"/>
    <col min="13061" max="13061" width="17.5703125" customWidth="1"/>
    <col min="13062" max="13062" width="0" hidden="1" customWidth="1"/>
    <col min="13063" max="13063" width="17.5703125" customWidth="1"/>
    <col min="13064" max="13069" width="0" hidden="1" customWidth="1"/>
    <col min="13313" max="13313" width="28.7109375" customWidth="1"/>
    <col min="13314" max="13314" width="23.5703125" customWidth="1"/>
    <col min="13315" max="13316" width="22.7109375" customWidth="1"/>
    <col min="13317" max="13317" width="17.5703125" customWidth="1"/>
    <col min="13318" max="13318" width="0" hidden="1" customWidth="1"/>
    <col min="13319" max="13319" width="17.5703125" customWidth="1"/>
    <col min="13320" max="13325" width="0" hidden="1" customWidth="1"/>
    <col min="13569" max="13569" width="28.7109375" customWidth="1"/>
    <col min="13570" max="13570" width="23.5703125" customWidth="1"/>
    <col min="13571" max="13572" width="22.7109375" customWidth="1"/>
    <col min="13573" max="13573" width="17.5703125" customWidth="1"/>
    <col min="13574" max="13574" width="0" hidden="1" customWidth="1"/>
    <col min="13575" max="13575" width="17.5703125" customWidth="1"/>
    <col min="13576" max="13581" width="0" hidden="1" customWidth="1"/>
    <col min="13825" max="13825" width="28.7109375" customWidth="1"/>
    <col min="13826" max="13826" width="23.5703125" customWidth="1"/>
    <col min="13827" max="13828" width="22.7109375" customWidth="1"/>
    <col min="13829" max="13829" width="17.5703125" customWidth="1"/>
    <col min="13830" max="13830" width="0" hidden="1" customWidth="1"/>
    <col min="13831" max="13831" width="17.5703125" customWidth="1"/>
    <col min="13832" max="13837" width="0" hidden="1" customWidth="1"/>
    <col min="14081" max="14081" width="28.7109375" customWidth="1"/>
    <col min="14082" max="14082" width="23.5703125" customWidth="1"/>
    <col min="14083" max="14084" width="22.7109375" customWidth="1"/>
    <col min="14085" max="14085" width="17.5703125" customWidth="1"/>
    <col min="14086" max="14086" width="0" hidden="1" customWidth="1"/>
    <col min="14087" max="14087" width="17.5703125" customWidth="1"/>
    <col min="14088" max="14093" width="0" hidden="1" customWidth="1"/>
    <col min="14337" max="14337" width="28.7109375" customWidth="1"/>
    <col min="14338" max="14338" width="23.5703125" customWidth="1"/>
    <col min="14339" max="14340" width="22.7109375" customWidth="1"/>
    <col min="14341" max="14341" width="17.5703125" customWidth="1"/>
    <col min="14342" max="14342" width="0" hidden="1" customWidth="1"/>
    <col min="14343" max="14343" width="17.5703125" customWidth="1"/>
    <col min="14344" max="14349" width="0" hidden="1" customWidth="1"/>
    <col min="14593" max="14593" width="28.7109375" customWidth="1"/>
    <col min="14594" max="14594" width="23.5703125" customWidth="1"/>
    <col min="14595" max="14596" width="22.7109375" customWidth="1"/>
    <col min="14597" max="14597" width="17.5703125" customWidth="1"/>
    <col min="14598" max="14598" width="0" hidden="1" customWidth="1"/>
    <col min="14599" max="14599" width="17.5703125" customWidth="1"/>
    <col min="14600" max="14605" width="0" hidden="1" customWidth="1"/>
    <col min="14849" max="14849" width="28.7109375" customWidth="1"/>
    <col min="14850" max="14850" width="23.5703125" customWidth="1"/>
    <col min="14851" max="14852" width="22.7109375" customWidth="1"/>
    <col min="14853" max="14853" width="17.5703125" customWidth="1"/>
    <col min="14854" max="14854" width="0" hidden="1" customWidth="1"/>
    <col min="14855" max="14855" width="17.5703125" customWidth="1"/>
    <col min="14856" max="14861" width="0" hidden="1" customWidth="1"/>
    <col min="15105" max="15105" width="28.7109375" customWidth="1"/>
    <col min="15106" max="15106" width="23.5703125" customWidth="1"/>
    <col min="15107" max="15108" width="22.7109375" customWidth="1"/>
    <col min="15109" max="15109" width="17.5703125" customWidth="1"/>
    <col min="15110" max="15110" width="0" hidden="1" customWidth="1"/>
    <col min="15111" max="15111" width="17.5703125" customWidth="1"/>
    <col min="15112" max="15117" width="0" hidden="1" customWidth="1"/>
    <col min="15361" max="15361" width="28.7109375" customWidth="1"/>
    <col min="15362" max="15362" width="23.5703125" customWidth="1"/>
    <col min="15363" max="15364" width="22.7109375" customWidth="1"/>
    <col min="15365" max="15365" width="17.5703125" customWidth="1"/>
    <col min="15366" max="15366" width="0" hidden="1" customWidth="1"/>
    <col min="15367" max="15367" width="17.5703125" customWidth="1"/>
    <col min="15368" max="15373" width="0" hidden="1" customWidth="1"/>
    <col min="15617" max="15617" width="28.7109375" customWidth="1"/>
    <col min="15618" max="15618" width="23.5703125" customWidth="1"/>
    <col min="15619" max="15620" width="22.7109375" customWidth="1"/>
    <col min="15621" max="15621" width="17.5703125" customWidth="1"/>
    <col min="15622" max="15622" width="0" hidden="1" customWidth="1"/>
    <col min="15623" max="15623" width="17.5703125" customWidth="1"/>
    <col min="15624" max="15629" width="0" hidden="1" customWidth="1"/>
    <col min="15873" max="15873" width="28.7109375" customWidth="1"/>
    <col min="15874" max="15874" width="23.5703125" customWidth="1"/>
    <col min="15875" max="15876" width="22.7109375" customWidth="1"/>
    <col min="15877" max="15877" width="17.5703125" customWidth="1"/>
    <col min="15878" max="15878" width="0" hidden="1" customWidth="1"/>
    <col min="15879" max="15879" width="17.5703125" customWidth="1"/>
    <col min="15880" max="15885" width="0" hidden="1" customWidth="1"/>
    <col min="16129" max="16129" width="28.7109375" customWidth="1"/>
    <col min="16130" max="16130" width="23.5703125" customWidth="1"/>
    <col min="16131" max="16132" width="22.7109375" customWidth="1"/>
    <col min="16133" max="16133" width="17.5703125" customWidth="1"/>
    <col min="16134" max="16134" width="0" hidden="1" customWidth="1"/>
    <col min="16135" max="16135" width="17.5703125" customWidth="1"/>
    <col min="16136" max="16141" width="0" hidden="1" customWidth="1"/>
  </cols>
  <sheetData>
    <row r="1" spans="1:13" s="2" customFormat="1" ht="115.5" customHeight="1" thickBot="1">
      <c r="A1" s="157" t="s">
        <v>0</v>
      </c>
      <c r="B1" s="157"/>
      <c r="C1" s="157"/>
      <c r="D1" s="157"/>
      <c r="E1" s="157"/>
      <c r="F1" s="157"/>
      <c r="G1" s="157"/>
      <c r="H1" s="1"/>
      <c r="M1" s="1"/>
    </row>
    <row r="2" spans="1:13" s="2" customFormat="1" ht="6.75" customHeight="1" thickBot="1">
      <c r="A2" s="3"/>
      <c r="B2" s="3"/>
      <c r="C2" s="3"/>
      <c r="D2" s="3"/>
      <c r="E2" s="4"/>
      <c r="F2" s="4"/>
      <c r="G2" s="4"/>
      <c r="H2" s="5"/>
      <c r="I2" s="3"/>
      <c r="J2" s="6"/>
      <c r="K2" s="6"/>
      <c r="L2" s="6"/>
      <c r="M2" s="5"/>
    </row>
    <row r="3" spans="1:13" s="2" customFormat="1" ht="16.5" customHeight="1">
      <c r="A3" s="7"/>
      <c r="B3" s="7"/>
      <c r="C3" s="7"/>
      <c r="D3" s="7"/>
      <c r="E3" s="8"/>
      <c r="F3" s="8"/>
      <c r="G3" s="8"/>
      <c r="H3" s="5"/>
      <c r="I3" s="7"/>
      <c r="J3" s="9"/>
      <c r="K3" s="9"/>
      <c r="L3" s="9"/>
      <c r="M3" s="5"/>
    </row>
    <row r="4" spans="1:13" s="10" customFormat="1" ht="18.75">
      <c r="A4" s="158" t="s">
        <v>85</v>
      </c>
      <c r="B4" s="158"/>
      <c r="C4" s="158"/>
      <c r="D4" s="158"/>
      <c r="E4" s="158"/>
      <c r="F4" s="158"/>
      <c r="G4" s="158"/>
    </row>
    <row r="5" spans="1:13" s="10" customFormat="1" ht="9.75" customHeight="1">
      <c r="A5" s="11"/>
      <c r="B5" s="12"/>
      <c r="C5" s="12"/>
      <c r="E5" s="2"/>
      <c r="F5" s="2"/>
      <c r="G5" s="2"/>
      <c r="J5" s="13"/>
      <c r="K5" s="13"/>
      <c r="L5" s="13"/>
    </row>
    <row r="6" spans="1:13" s="16" customFormat="1" ht="12.75" customHeight="1">
      <c r="A6" s="159" t="s">
        <v>1</v>
      </c>
      <c r="B6" s="159" t="s">
        <v>2</v>
      </c>
      <c r="C6" s="14" t="s">
        <v>3</v>
      </c>
      <c r="D6" s="14" t="s">
        <v>3</v>
      </c>
      <c r="E6" s="135" t="s">
        <v>4</v>
      </c>
      <c r="F6" s="135"/>
      <c r="G6" s="135"/>
      <c r="H6" s="15" t="s">
        <v>5</v>
      </c>
      <c r="I6" s="14" t="s">
        <v>3</v>
      </c>
      <c r="J6" s="136" t="s">
        <v>4</v>
      </c>
      <c r="K6" s="136"/>
      <c r="L6" s="136"/>
      <c r="M6" s="15" t="s">
        <v>5</v>
      </c>
    </row>
    <row r="7" spans="1:13" s="16" customFormat="1" ht="15.75" customHeight="1">
      <c r="A7" s="159"/>
      <c r="B7" s="159"/>
      <c r="C7" s="17" t="s">
        <v>126</v>
      </c>
      <c r="D7" s="17" t="s">
        <v>6</v>
      </c>
      <c r="E7" s="18" t="s">
        <v>7</v>
      </c>
      <c r="F7" s="18"/>
      <c r="G7" s="18" t="s">
        <v>8</v>
      </c>
      <c r="H7" s="19"/>
      <c r="I7" s="17" t="s">
        <v>6</v>
      </c>
      <c r="J7" s="20" t="s">
        <v>7</v>
      </c>
      <c r="K7" s="20"/>
      <c r="L7" s="20" t="s">
        <v>8</v>
      </c>
      <c r="M7" s="19"/>
    </row>
    <row r="8" spans="1:13" s="16" customFormat="1" ht="15.75">
      <c r="A8" s="159"/>
      <c r="B8" s="159"/>
      <c r="C8" s="21" t="s">
        <v>9</v>
      </c>
      <c r="D8" s="21" t="s">
        <v>9</v>
      </c>
      <c r="E8" s="22" t="s">
        <v>10</v>
      </c>
      <c r="F8" s="22"/>
      <c r="G8" s="22" t="s">
        <v>11</v>
      </c>
      <c r="H8" s="23"/>
      <c r="I8" s="21" t="s">
        <v>12</v>
      </c>
      <c r="J8" s="24" t="s">
        <v>10</v>
      </c>
      <c r="K8" s="24"/>
      <c r="L8" s="24" t="s">
        <v>13</v>
      </c>
      <c r="M8" s="23"/>
    </row>
    <row r="9" spans="1:13" s="16" customFormat="1" ht="15.75">
      <c r="A9" s="25">
        <v>1</v>
      </c>
      <c r="B9" s="25">
        <v>2</v>
      </c>
      <c r="C9" s="26">
        <v>3</v>
      </c>
      <c r="D9" s="21">
        <v>4</v>
      </c>
      <c r="E9" s="22">
        <v>5</v>
      </c>
      <c r="F9" s="22">
        <v>6</v>
      </c>
      <c r="G9" s="22">
        <v>6</v>
      </c>
      <c r="H9" s="27"/>
      <c r="I9" s="21">
        <v>4</v>
      </c>
      <c r="J9" s="24">
        <v>5</v>
      </c>
      <c r="K9" s="24">
        <v>6</v>
      </c>
      <c r="L9" s="24">
        <v>6</v>
      </c>
      <c r="M9" s="27"/>
    </row>
    <row r="10" spans="1:13" s="2" customFormat="1" ht="30" customHeight="1">
      <c r="A10" s="28" t="s">
        <v>14</v>
      </c>
      <c r="B10" s="29" t="s">
        <v>15</v>
      </c>
      <c r="C10" s="37">
        <f>950*2+1016.5*10</f>
        <v>12065</v>
      </c>
      <c r="D10" s="30">
        <f>C10/12</f>
        <v>1005.4166666666666</v>
      </c>
      <c r="E10" s="31">
        <f>D10*7960.7/(6854.6+1106.1+1882.8)</f>
        <v>813.10717309222662</v>
      </c>
      <c r="F10" s="31"/>
      <c r="G10" s="30">
        <f>D10*1882.8/(6854.6+1106.1+1882.8)</f>
        <v>192.30949357443995</v>
      </c>
      <c r="H10" s="32">
        <f>E10+F10+G10</f>
        <v>1005.4166666666665</v>
      </c>
      <c r="I10" s="30">
        <f>C10/12</f>
        <v>1005.4166666666666</v>
      </c>
      <c r="J10" s="33">
        <f>I10*7960.7/(6854.6+1106.1+785.6)</f>
        <v>915.10929859864541</v>
      </c>
      <c r="K10" s="33"/>
      <c r="L10" s="34">
        <f>I10*785.6/(6854.6+1106.1+785.6)</f>
        <v>90.307368068021134</v>
      </c>
      <c r="M10" s="32">
        <f>J10+K10+L10</f>
        <v>1005.4166666666665</v>
      </c>
    </row>
    <row r="11" spans="1:13" s="2" customFormat="1">
      <c r="A11" s="28" t="s">
        <v>16</v>
      </c>
      <c r="B11" s="29" t="s">
        <v>17</v>
      </c>
      <c r="C11" s="30">
        <f>12899.76*4</f>
        <v>51599.040000000001</v>
      </c>
      <c r="D11" s="30">
        <f t="shared" ref="D11:D43" si="0">C11/12</f>
        <v>4299.92</v>
      </c>
      <c r="E11" s="31">
        <f>D11</f>
        <v>4299.92</v>
      </c>
      <c r="F11" s="31"/>
      <c r="G11" s="30"/>
      <c r="H11" s="32">
        <f t="shared" ref="H11:H38" si="1">E11+F11+G11</f>
        <v>4299.92</v>
      </c>
      <c r="I11" s="30">
        <f t="shared" ref="I11:I29" si="2">C11/12</f>
        <v>4299.92</v>
      </c>
      <c r="J11" s="33">
        <f>I11</f>
        <v>4299.92</v>
      </c>
      <c r="K11" s="33"/>
      <c r="L11" s="34"/>
      <c r="M11" s="32">
        <f>J11+K11+L11</f>
        <v>4299.92</v>
      </c>
    </row>
    <row r="12" spans="1:13" s="2" customFormat="1" ht="30" customHeight="1">
      <c r="A12" s="28" t="s">
        <v>18</v>
      </c>
      <c r="B12" s="29" t="s">
        <v>19</v>
      </c>
      <c r="C12" s="30">
        <v>5946</v>
      </c>
      <c r="D12" s="30">
        <f t="shared" si="0"/>
        <v>495.5</v>
      </c>
      <c r="E12" s="31">
        <f>D12</f>
        <v>495.5</v>
      </c>
      <c r="F12" s="31"/>
      <c r="G12" s="30"/>
      <c r="H12" s="32">
        <f t="shared" si="1"/>
        <v>495.5</v>
      </c>
      <c r="I12" s="30">
        <f t="shared" si="2"/>
        <v>495.5</v>
      </c>
      <c r="J12" s="33">
        <f>I12</f>
        <v>495.5</v>
      </c>
      <c r="K12" s="33"/>
      <c r="L12" s="34"/>
      <c r="M12" s="32">
        <f>J12+K12+L12</f>
        <v>495.5</v>
      </c>
    </row>
    <row r="13" spans="1:13" s="2" customFormat="1" ht="25.5">
      <c r="A13" s="28" t="s">
        <v>20</v>
      </c>
      <c r="B13" s="29" t="s">
        <v>21</v>
      </c>
      <c r="C13" s="30">
        <v>1500</v>
      </c>
      <c r="D13" s="30">
        <f t="shared" si="0"/>
        <v>125</v>
      </c>
      <c r="E13" s="31">
        <f>D13</f>
        <v>125</v>
      </c>
      <c r="F13" s="31"/>
      <c r="G13" s="30"/>
      <c r="H13" s="32">
        <f t="shared" si="1"/>
        <v>125</v>
      </c>
      <c r="I13" s="30">
        <f t="shared" si="2"/>
        <v>125</v>
      </c>
      <c r="J13" s="33">
        <f>I13</f>
        <v>125</v>
      </c>
      <c r="K13" s="33"/>
      <c r="L13" s="34"/>
      <c r="M13" s="32">
        <f>J13+K13+L13</f>
        <v>125</v>
      </c>
    </row>
    <row r="14" spans="1:13" s="2" customFormat="1">
      <c r="A14" s="28" t="s">
        <v>22</v>
      </c>
      <c r="B14" s="29" t="s">
        <v>23</v>
      </c>
      <c r="C14" s="35">
        <f>D14*12</f>
        <v>192096</v>
      </c>
      <c r="D14" s="30">
        <v>16008</v>
      </c>
      <c r="E14" s="31">
        <f>D14</f>
        <v>16008</v>
      </c>
      <c r="F14" s="31"/>
      <c r="G14" s="30"/>
      <c r="H14" s="32">
        <f t="shared" si="1"/>
        <v>16008</v>
      </c>
      <c r="I14" s="30">
        <f t="shared" si="2"/>
        <v>16008</v>
      </c>
      <c r="J14" s="33">
        <f>I14</f>
        <v>16008</v>
      </c>
      <c r="K14" s="33"/>
      <c r="L14" s="34"/>
      <c r="M14" s="32">
        <f>J14+K14+L14</f>
        <v>16008</v>
      </c>
    </row>
    <row r="15" spans="1:13" s="2" customFormat="1" hidden="1">
      <c r="A15" s="28" t="s">
        <v>24</v>
      </c>
      <c r="B15" s="36"/>
      <c r="C15" s="30">
        <v>0</v>
      </c>
      <c r="D15" s="30">
        <f t="shared" si="0"/>
        <v>0</v>
      </c>
      <c r="E15" s="31">
        <f>D15</f>
        <v>0</v>
      </c>
      <c r="F15" s="31"/>
      <c r="G15" s="30"/>
      <c r="H15" s="32"/>
      <c r="I15" s="30">
        <f t="shared" si="2"/>
        <v>0</v>
      </c>
      <c r="J15" s="33">
        <f>I15</f>
        <v>0</v>
      </c>
      <c r="K15" s="33"/>
      <c r="L15" s="34"/>
      <c r="M15" s="32"/>
    </row>
    <row r="16" spans="1:13" s="2" customFormat="1" ht="30" customHeight="1">
      <c r="A16" s="28" t="s">
        <v>25</v>
      </c>
      <c r="B16" s="29" t="s">
        <v>26</v>
      </c>
      <c r="C16" s="30">
        <v>84000</v>
      </c>
      <c r="D16" s="30">
        <f t="shared" si="0"/>
        <v>7000</v>
      </c>
      <c r="E16" s="31">
        <f>D16*7960.7/(6854.6+1106.1+1882.8)</f>
        <v>5661.0859958348146</v>
      </c>
      <c r="F16" s="31"/>
      <c r="G16" s="30">
        <f>D16*1882.8/(6854.6+1106.1+1882.8)</f>
        <v>1338.9140041651851</v>
      </c>
      <c r="H16" s="32">
        <f t="shared" si="1"/>
        <v>7000</v>
      </c>
      <c r="I16" s="30">
        <f t="shared" si="2"/>
        <v>7000</v>
      </c>
      <c r="J16" s="33">
        <f>I16*7960.7/(6854.6+1106.1+785.6)</f>
        <v>6371.2541303179623</v>
      </c>
      <c r="K16" s="33"/>
      <c r="L16" s="34">
        <f>I16*785.6/(6854.6+1106.1+785.6)</f>
        <v>628.74586968203687</v>
      </c>
      <c r="M16" s="32">
        <f t="shared" ref="M16:M29" si="3">J16+K16+L16</f>
        <v>6999.9999999999991</v>
      </c>
    </row>
    <row r="17" spans="1:13" s="2" customFormat="1" ht="25.5">
      <c r="A17" s="28" t="s">
        <v>27</v>
      </c>
      <c r="B17" s="29" t="s">
        <v>28</v>
      </c>
      <c r="C17" s="30">
        <v>22800</v>
      </c>
      <c r="D17" s="30">
        <f t="shared" si="0"/>
        <v>1900</v>
      </c>
      <c r="E17" s="31">
        <f>D17*7960.7/(6854.6+1106.1+1882.8)</f>
        <v>1536.5804845837354</v>
      </c>
      <c r="F17" s="31"/>
      <c r="G17" s="30">
        <f>D17*1882.8/(6854.6+1106.1+1882.8)</f>
        <v>363.41951541626452</v>
      </c>
      <c r="H17" s="32">
        <f t="shared" si="1"/>
        <v>1900</v>
      </c>
      <c r="I17" s="30">
        <f t="shared" si="2"/>
        <v>1900</v>
      </c>
      <c r="J17" s="33">
        <f>I17*7960.7/(6854.6+1106.1+785.6)</f>
        <v>1729.3404068005898</v>
      </c>
      <c r="K17" s="33"/>
      <c r="L17" s="34">
        <f>I17*785.6/(6854.6+1106.1+785.6)</f>
        <v>170.65959319941001</v>
      </c>
      <c r="M17" s="32">
        <f t="shared" si="3"/>
        <v>1899.9999999999998</v>
      </c>
    </row>
    <row r="18" spans="1:13" s="2" customFormat="1">
      <c r="A18" s="28" t="s">
        <v>29</v>
      </c>
      <c r="B18" s="29" t="s">
        <v>30</v>
      </c>
      <c r="C18" s="30">
        <f>D18*12</f>
        <v>24000</v>
      </c>
      <c r="D18" s="30">
        <v>2000</v>
      </c>
      <c r="E18" s="31">
        <f>D18*7960.7/(6854.6+1106.1+1882.8)</f>
        <v>1617.45314166709</v>
      </c>
      <c r="F18" s="31"/>
      <c r="G18" s="30">
        <f>D18*1882.8/(6854.6+1106.1+1882.8)</f>
        <v>382.54685833291006</v>
      </c>
      <c r="H18" s="32">
        <f t="shared" si="1"/>
        <v>2000</v>
      </c>
      <c r="I18" s="30">
        <f t="shared" si="2"/>
        <v>2000</v>
      </c>
      <c r="J18" s="33">
        <f>I18*7960.7/(6854.6+1106.1+785.6)</f>
        <v>1820.3583229479891</v>
      </c>
      <c r="K18" s="33"/>
      <c r="L18" s="34">
        <f>I18*785.6/(6854.6+1106.1+785.6)</f>
        <v>179.64167705201055</v>
      </c>
      <c r="M18" s="32">
        <f t="shared" si="3"/>
        <v>1999.9999999999995</v>
      </c>
    </row>
    <row r="19" spans="1:13" s="2" customFormat="1">
      <c r="A19" s="28" t="s">
        <v>31</v>
      </c>
      <c r="B19" s="29" t="s">
        <v>32</v>
      </c>
      <c r="C19" s="30">
        <v>36372.25</v>
      </c>
      <c r="D19" s="30">
        <f t="shared" si="0"/>
        <v>3031.0208333333335</v>
      </c>
      <c r="E19" s="31">
        <f>D19*7960.7/(6854.6+1106.1+1882.8)</f>
        <v>2451.2670846667006</v>
      </c>
      <c r="F19" s="31"/>
      <c r="G19" s="30">
        <f>D19*1882.8/(6854.6+1106.1+1882.8)</f>
        <v>579.75374866663287</v>
      </c>
      <c r="H19" s="32">
        <f t="shared" si="1"/>
        <v>3031.0208333333335</v>
      </c>
      <c r="I19" s="30">
        <f t="shared" si="2"/>
        <v>3031.0208333333335</v>
      </c>
      <c r="J19" s="33">
        <f>I19*7960.7/(6854.6+1106.1+785.6)</f>
        <v>2758.7720004935418</v>
      </c>
      <c r="K19" s="33"/>
      <c r="L19" s="34">
        <f>I19*785.6/(6854.6+1106.1+785.6)</f>
        <v>272.24883283979131</v>
      </c>
      <c r="M19" s="32">
        <f t="shared" si="3"/>
        <v>3031.020833333333</v>
      </c>
    </row>
    <row r="20" spans="1:13" s="2" customFormat="1" ht="51">
      <c r="A20" s="28" t="s">
        <v>33</v>
      </c>
      <c r="B20" s="29" t="s">
        <v>34</v>
      </c>
      <c r="C20" s="30">
        <v>19329.96</v>
      </c>
      <c r="D20" s="30">
        <f t="shared" si="0"/>
        <v>1610.83</v>
      </c>
      <c r="E20" s="31">
        <f>D20</f>
        <v>1610.83</v>
      </c>
      <c r="F20" s="31"/>
      <c r="G20" s="30"/>
      <c r="H20" s="32">
        <f t="shared" si="1"/>
        <v>1610.83</v>
      </c>
      <c r="I20" s="30">
        <f t="shared" si="2"/>
        <v>1610.83</v>
      </c>
      <c r="J20" s="33">
        <f>I20</f>
        <v>1610.83</v>
      </c>
      <c r="K20" s="33"/>
      <c r="L20" s="34"/>
      <c r="M20" s="32">
        <f t="shared" si="3"/>
        <v>1610.83</v>
      </c>
    </row>
    <row r="21" spans="1:13" s="2" customFormat="1" ht="25.5">
      <c r="A21" s="28" t="s">
        <v>35</v>
      </c>
      <c r="B21" s="29" t="s">
        <v>36</v>
      </c>
      <c r="C21" s="30">
        <v>2000</v>
      </c>
      <c r="D21" s="30">
        <f t="shared" si="0"/>
        <v>166.66666666666666</v>
      </c>
      <c r="E21" s="31">
        <f>D21</f>
        <v>166.66666666666666</v>
      </c>
      <c r="F21" s="31"/>
      <c r="G21" s="30"/>
      <c r="H21" s="32">
        <f t="shared" si="1"/>
        <v>166.66666666666666</v>
      </c>
      <c r="I21" s="30">
        <f t="shared" si="2"/>
        <v>166.66666666666666</v>
      </c>
      <c r="J21" s="33">
        <f>I21</f>
        <v>166.66666666666666</v>
      </c>
      <c r="K21" s="33"/>
      <c r="L21" s="34"/>
      <c r="M21" s="32">
        <f t="shared" si="3"/>
        <v>166.66666666666666</v>
      </c>
    </row>
    <row r="22" spans="1:13" s="2" customFormat="1" ht="25.5">
      <c r="A22" s="28" t="s">
        <v>37</v>
      </c>
      <c r="B22" s="29" t="s">
        <v>38</v>
      </c>
      <c r="C22" s="37">
        <v>660000</v>
      </c>
      <c r="D22" s="30">
        <f t="shared" si="0"/>
        <v>55000</v>
      </c>
      <c r="E22" s="31">
        <f>D22</f>
        <v>55000</v>
      </c>
      <c r="F22" s="31"/>
      <c r="G22" s="30"/>
      <c r="H22" s="32">
        <f t="shared" si="1"/>
        <v>55000</v>
      </c>
      <c r="I22" s="30">
        <f t="shared" si="2"/>
        <v>55000</v>
      </c>
      <c r="J22" s="33">
        <f>I22</f>
        <v>55000</v>
      </c>
      <c r="K22" s="33"/>
      <c r="L22" s="34"/>
      <c r="M22" s="32">
        <f t="shared" si="3"/>
        <v>55000</v>
      </c>
    </row>
    <row r="23" spans="1:13" s="2" customFormat="1" ht="25.5">
      <c r="A23" s="28" t="s">
        <v>39</v>
      </c>
      <c r="B23" s="29" t="s">
        <v>40</v>
      </c>
      <c r="C23" s="37">
        <v>79900</v>
      </c>
      <c r="D23" s="30">
        <f t="shared" si="0"/>
        <v>6658.333333333333</v>
      </c>
      <c r="E23" s="31">
        <f>D23*7960.7/(6854.6+1106.1+1882.8)</f>
        <v>5384.7710841333537</v>
      </c>
      <c r="F23" s="31"/>
      <c r="G23" s="30">
        <f>D23*1882.8/(6854.6+1106.1+1882.8)</f>
        <v>1273.5622491999798</v>
      </c>
      <c r="H23" s="32">
        <f t="shared" si="1"/>
        <v>6658.3333333333339</v>
      </c>
      <c r="I23" s="30">
        <f t="shared" si="2"/>
        <v>6658.333333333333</v>
      </c>
      <c r="J23" s="33">
        <f>I23*7960.7/(6854.6+1106.1+785.6)</f>
        <v>6060.27625014768</v>
      </c>
      <c r="K23" s="33"/>
      <c r="L23" s="34">
        <f>I23*785.6/(6854.6+1106.1+785.6)</f>
        <v>598.05708318565178</v>
      </c>
      <c r="M23" s="32">
        <f t="shared" si="3"/>
        <v>6658.3333333333321</v>
      </c>
    </row>
    <row r="24" spans="1:13" s="2" customFormat="1" ht="15" customHeight="1">
      <c r="A24" s="28" t="s">
        <v>41</v>
      </c>
      <c r="B24" s="150" t="s">
        <v>42</v>
      </c>
      <c r="C24" s="30">
        <f>12000*1.15*13</f>
        <v>179399.99999999997</v>
      </c>
      <c r="D24" s="30">
        <f>C24/13</f>
        <v>13799.999999999998</v>
      </c>
      <c r="E24" s="31">
        <f>C24/12</f>
        <v>14949.999999999998</v>
      </c>
      <c r="F24" s="31"/>
      <c r="G24" s="30"/>
      <c r="H24" s="32">
        <f t="shared" si="1"/>
        <v>14949.999999999998</v>
      </c>
      <c r="I24" s="30">
        <f t="shared" si="2"/>
        <v>14949.999999999998</v>
      </c>
      <c r="J24" s="33">
        <f>I24</f>
        <v>14949.999999999998</v>
      </c>
      <c r="K24" s="33"/>
      <c r="L24" s="34"/>
      <c r="M24" s="32">
        <f t="shared" si="3"/>
        <v>14949.999999999998</v>
      </c>
    </row>
    <row r="25" spans="1:13" s="2" customFormat="1" ht="25.5" hidden="1">
      <c r="A25" s="28" t="s">
        <v>43</v>
      </c>
      <c r="B25" s="151"/>
      <c r="C25" s="30">
        <v>0</v>
      </c>
      <c r="D25" s="30">
        <f>C25/13</f>
        <v>0</v>
      </c>
      <c r="E25" s="31">
        <f>D25</f>
        <v>0</v>
      </c>
      <c r="F25" s="31"/>
      <c r="G25" s="30"/>
      <c r="H25" s="32">
        <f t="shared" si="1"/>
        <v>0</v>
      </c>
      <c r="I25" s="30">
        <f t="shared" si="2"/>
        <v>0</v>
      </c>
      <c r="J25" s="33">
        <f>I25</f>
        <v>0</v>
      </c>
      <c r="K25" s="33"/>
      <c r="L25" s="34"/>
      <c r="M25" s="32">
        <f t="shared" si="3"/>
        <v>0</v>
      </c>
    </row>
    <row r="26" spans="1:13" s="2" customFormat="1">
      <c r="A26" s="28" t="s">
        <v>44</v>
      </c>
      <c r="B26" s="151"/>
      <c r="C26" s="30">
        <f>(15000*6+8000*6)*1.15+11500</f>
        <v>170200</v>
      </c>
      <c r="D26" s="30">
        <f>C26/13</f>
        <v>13092.307692307691</v>
      </c>
      <c r="E26" s="31">
        <f>C26/12*7960.7/(6854.6+1106.1+1882.8)</f>
        <v>11470.438529655779</v>
      </c>
      <c r="F26" s="31"/>
      <c r="G26" s="30">
        <f>C26/12*1882.8/(6854.6+1106.1+1882.8)</f>
        <v>2712.8948036775537</v>
      </c>
      <c r="H26" s="32">
        <f t="shared" si="1"/>
        <v>14183.333333333332</v>
      </c>
      <c r="I26" s="30">
        <f t="shared" si="2"/>
        <v>14183.333333333334</v>
      </c>
      <c r="J26" s="33">
        <f t="shared" ref="J26:J31" si="4">I26*7960.7/(6854.6+1106.1+785.6)</f>
        <v>12909.374440239491</v>
      </c>
      <c r="K26" s="33"/>
      <c r="L26" s="34">
        <f t="shared" ref="L26:L31" si="5">I26*785.6/(6854.6+1106.1+785.6)</f>
        <v>1273.9588930938417</v>
      </c>
      <c r="M26" s="32">
        <f t="shared" si="3"/>
        <v>14183.333333333332</v>
      </c>
    </row>
    <row r="27" spans="1:13" s="2" customFormat="1">
      <c r="A27" s="28" t="s">
        <v>45</v>
      </c>
      <c r="B27" s="152"/>
      <c r="C27" s="30">
        <f>25000*1.15*13</f>
        <v>373749.99999999994</v>
      </c>
      <c r="D27" s="30">
        <f>C27/13</f>
        <v>28749.999999999996</v>
      </c>
      <c r="E27" s="31">
        <f>C27/12*7960.7/(6854.6+1106.1+1882.8)</f>
        <v>25188.462987419782</v>
      </c>
      <c r="F27" s="31"/>
      <c r="G27" s="30">
        <f>C27/12*1882.8/(6854.6+1106.1+1882.8)</f>
        <v>5957.3703459135459</v>
      </c>
      <c r="H27" s="32">
        <f t="shared" si="1"/>
        <v>31145.833333333328</v>
      </c>
      <c r="I27" s="30">
        <f t="shared" si="2"/>
        <v>31145.833333333328</v>
      </c>
      <c r="J27" s="33">
        <f t="shared" si="4"/>
        <v>28348.28846674212</v>
      </c>
      <c r="K27" s="33"/>
      <c r="L27" s="34">
        <f t="shared" si="5"/>
        <v>2797.5448665912054</v>
      </c>
      <c r="M27" s="32">
        <f t="shared" si="3"/>
        <v>31145.833333333325</v>
      </c>
    </row>
    <row r="28" spans="1:13" s="2" customFormat="1">
      <c r="A28" s="28" t="s">
        <v>46</v>
      </c>
      <c r="B28" s="38"/>
      <c r="C28" s="30">
        <f>(C24+C25+C26+C27)*0.302</f>
        <v>218451.69999999998</v>
      </c>
      <c r="D28" s="30">
        <f t="shared" si="0"/>
        <v>18204.308333333331</v>
      </c>
      <c r="E28" s="31">
        <f>(C27+C26)/12*0.302*7960.7/(7960.7+1882.8)+C24/12*0.302</f>
        <v>15585.88825815682</v>
      </c>
      <c r="F28" s="31"/>
      <c r="G28" s="30">
        <f>(C27+C26)/12*0.302*1882.8/(7960.7+1882.8)</f>
        <v>2618.420075176512</v>
      </c>
      <c r="H28" s="32" t="e">
        <f>#REF!+#REF!+#REF!</f>
        <v>#REF!</v>
      </c>
      <c r="I28" s="30">
        <f t="shared" si="2"/>
        <v>18204.308333333331</v>
      </c>
      <c r="J28" s="33">
        <f t="shared" si="4"/>
        <v>16569.182094047381</v>
      </c>
      <c r="K28" s="33"/>
      <c r="L28" s="34">
        <f t="shared" si="5"/>
        <v>1635.1262392859453</v>
      </c>
      <c r="M28" s="32">
        <f t="shared" si="3"/>
        <v>18204.308333333327</v>
      </c>
    </row>
    <row r="29" spans="1:13" s="2" customFormat="1">
      <c r="A29" s="28" t="s">
        <v>47</v>
      </c>
      <c r="B29" s="29" t="s">
        <v>48</v>
      </c>
      <c r="C29" s="37">
        <f>12130*3*12</f>
        <v>436680</v>
      </c>
      <c r="D29" s="30">
        <f t="shared" si="0"/>
        <v>36390</v>
      </c>
      <c r="E29" s="31">
        <f>D29*7960.7/(6854.6+1106.1+1882.8)</f>
        <v>29429.559912632703</v>
      </c>
      <c r="F29" s="31"/>
      <c r="G29" s="30">
        <f>D29*1882.8/(6854.6+1106.1+1882.8)</f>
        <v>6960.4400873672985</v>
      </c>
      <c r="H29" s="32">
        <f>E28+F28+G28</f>
        <v>18204.308333333331</v>
      </c>
      <c r="I29" s="30">
        <f t="shared" si="2"/>
        <v>36390</v>
      </c>
      <c r="J29" s="33">
        <f t="shared" si="4"/>
        <v>33121.419686038666</v>
      </c>
      <c r="K29" s="33"/>
      <c r="L29" s="34">
        <f t="shared" si="5"/>
        <v>3268.5803139613317</v>
      </c>
      <c r="M29" s="32">
        <f t="shared" si="3"/>
        <v>36390</v>
      </c>
    </row>
    <row r="30" spans="1:13" s="2" customFormat="1">
      <c r="A30" s="153" t="s">
        <v>49</v>
      </c>
      <c r="B30" s="29" t="s">
        <v>50</v>
      </c>
      <c r="C30" s="155">
        <v>34000</v>
      </c>
      <c r="D30" s="155">
        <f t="shared" si="0"/>
        <v>2833.3333333333335</v>
      </c>
      <c r="E30" s="141">
        <f>D30*7960.7/(6854.6+1106.1+1882.8)</f>
        <v>2291.3919506950442</v>
      </c>
      <c r="F30" s="155"/>
      <c r="G30" s="141">
        <f>D30*1882.8/(6854.6+1106.1+1882.8)</f>
        <v>541.94138263828927</v>
      </c>
      <c r="H30" s="32"/>
      <c r="I30" s="141">
        <f>C30/12</f>
        <v>2833.3333333333335</v>
      </c>
      <c r="J30" s="33">
        <f t="shared" si="4"/>
        <v>2578.8409575096516</v>
      </c>
      <c r="K30" s="33"/>
      <c r="L30" s="34">
        <f t="shared" si="5"/>
        <v>254.49237582368164</v>
      </c>
      <c r="M30" s="32"/>
    </row>
    <row r="31" spans="1:13" s="2" customFormat="1">
      <c r="A31" s="154"/>
      <c r="B31" s="29" t="s">
        <v>51</v>
      </c>
      <c r="C31" s="156"/>
      <c r="D31" s="156"/>
      <c r="E31" s="141"/>
      <c r="F31" s="156"/>
      <c r="G31" s="141"/>
      <c r="H31" s="32">
        <f t="shared" si="1"/>
        <v>0</v>
      </c>
      <c r="I31" s="141"/>
      <c r="J31" s="33">
        <f t="shared" si="4"/>
        <v>0</v>
      </c>
      <c r="K31" s="33"/>
      <c r="L31" s="34">
        <f t="shared" si="5"/>
        <v>0</v>
      </c>
      <c r="M31" s="32">
        <f t="shared" ref="M31:M38" si="6">J31+K31+L31</f>
        <v>0</v>
      </c>
    </row>
    <row r="32" spans="1:13" s="2" customFormat="1" ht="31.5" customHeight="1">
      <c r="A32" s="28" t="s">
        <v>52</v>
      </c>
      <c r="B32" s="29" t="s">
        <v>53</v>
      </c>
      <c r="C32" s="30">
        <v>53300</v>
      </c>
      <c r="D32" s="30">
        <f t="shared" si="0"/>
        <v>4441.666666666667</v>
      </c>
      <c r="E32" s="31">
        <f>D32</f>
        <v>4441.666666666667</v>
      </c>
      <c r="F32" s="31"/>
      <c r="G32" s="30"/>
      <c r="H32" s="32">
        <f t="shared" si="1"/>
        <v>4441.666666666667</v>
      </c>
      <c r="I32" s="30">
        <f t="shared" ref="I32:I43" si="7">C32/12</f>
        <v>4441.666666666667</v>
      </c>
      <c r="J32" s="33">
        <f>I32</f>
        <v>4441.666666666667</v>
      </c>
      <c r="K32" s="33"/>
      <c r="L32" s="34"/>
      <c r="M32" s="32">
        <f t="shared" si="6"/>
        <v>4441.666666666667</v>
      </c>
    </row>
    <row r="33" spans="1:13" s="2" customFormat="1" ht="41.25" customHeight="1">
      <c r="A33" s="28" t="s">
        <v>54</v>
      </c>
      <c r="B33" s="29" t="s">
        <v>55</v>
      </c>
      <c r="C33" s="30">
        <v>11500</v>
      </c>
      <c r="D33" s="30">
        <f t="shared" si="0"/>
        <v>958.33333333333337</v>
      </c>
      <c r="E33" s="31">
        <f>D33</f>
        <v>958.33333333333337</v>
      </c>
      <c r="F33" s="31"/>
      <c r="G33" s="30"/>
      <c r="H33" s="32">
        <f t="shared" si="1"/>
        <v>958.33333333333337</v>
      </c>
      <c r="I33" s="30">
        <f t="shared" si="7"/>
        <v>958.33333333333337</v>
      </c>
      <c r="J33" s="33">
        <f>I33</f>
        <v>958.33333333333337</v>
      </c>
      <c r="K33" s="33"/>
      <c r="L33" s="34"/>
      <c r="M33" s="32">
        <f t="shared" si="6"/>
        <v>958.33333333333337</v>
      </c>
    </row>
    <row r="34" spans="1:13" s="2" customFormat="1" ht="15" customHeight="1">
      <c r="A34" s="28" t="s">
        <v>56</v>
      </c>
      <c r="B34" s="29" t="s">
        <v>57</v>
      </c>
      <c r="C34" s="30">
        <v>20000</v>
      </c>
      <c r="D34" s="30">
        <f t="shared" si="0"/>
        <v>1666.6666666666667</v>
      </c>
      <c r="E34" s="31">
        <f>D34</f>
        <v>1666.6666666666667</v>
      </c>
      <c r="F34" s="31"/>
      <c r="G34" s="30"/>
      <c r="H34" s="32">
        <f t="shared" si="1"/>
        <v>1666.6666666666667</v>
      </c>
      <c r="I34" s="30">
        <f t="shared" si="7"/>
        <v>1666.6666666666667</v>
      </c>
      <c r="J34" s="33">
        <f>I34</f>
        <v>1666.6666666666667</v>
      </c>
      <c r="K34" s="33"/>
      <c r="L34" s="34"/>
      <c r="M34" s="32">
        <f t="shared" si="6"/>
        <v>1666.6666666666667</v>
      </c>
    </row>
    <row r="35" spans="1:13" s="2" customFormat="1" ht="28.5" customHeight="1">
      <c r="A35" s="28" t="s">
        <v>58</v>
      </c>
      <c r="B35" s="29" t="s">
        <v>55</v>
      </c>
      <c r="C35" s="30">
        <v>3000</v>
      </c>
      <c r="D35" s="30">
        <f t="shared" si="0"/>
        <v>250</v>
      </c>
      <c r="E35" s="31">
        <f>D35*7960.7/(6854.6+1106.1+1882.8)</f>
        <v>202.18164270838625</v>
      </c>
      <c r="F35" s="31"/>
      <c r="G35" s="30">
        <f t="shared" ref="G35:G40" si="8">D35*1882.8/(6854.6+1106.1+1882.8)</f>
        <v>47.818357291613758</v>
      </c>
      <c r="H35" s="32">
        <f t="shared" si="1"/>
        <v>250</v>
      </c>
      <c r="I35" s="30">
        <f t="shared" si="7"/>
        <v>250</v>
      </c>
      <c r="J35" s="33">
        <f>I35*7960.7/(6854.6+1106.1+785.6)</f>
        <v>227.54479036849864</v>
      </c>
      <c r="K35" s="33"/>
      <c r="L35" s="34">
        <f>I35*785.6/(6854.6+1106.1+785.6)</f>
        <v>22.455209631501319</v>
      </c>
      <c r="M35" s="32">
        <f t="shared" si="6"/>
        <v>249.99999999999994</v>
      </c>
    </row>
    <row r="36" spans="1:13" s="2" customFormat="1" ht="15" customHeight="1">
      <c r="A36" s="28" t="s">
        <v>59</v>
      </c>
      <c r="B36" s="29" t="s">
        <v>55</v>
      </c>
      <c r="C36" s="30">
        <v>2000</v>
      </c>
      <c r="D36" s="30">
        <f t="shared" si="0"/>
        <v>166.66666666666666</v>
      </c>
      <c r="E36" s="31">
        <f>D36*7960.7/(6854.6+1106.1+1882.8)</f>
        <v>134.78776180559083</v>
      </c>
      <c r="F36" s="31"/>
      <c r="G36" s="30">
        <f>D36*1882.8/(6854.6+1106.1+1882.8)</f>
        <v>31.878904861075839</v>
      </c>
      <c r="H36" s="32">
        <f t="shared" si="1"/>
        <v>166.66666666666669</v>
      </c>
      <c r="I36" s="30">
        <f t="shared" si="7"/>
        <v>166.66666666666666</v>
      </c>
      <c r="J36" s="33">
        <f>I36*7960.7/(6854.6+1106.1+785.6)</f>
        <v>151.69652691233242</v>
      </c>
      <c r="K36" s="33"/>
      <c r="L36" s="34">
        <f>I36*785.6/(6854.6+1106.1+785.6)</f>
        <v>14.970139754334211</v>
      </c>
      <c r="M36" s="32">
        <f t="shared" si="6"/>
        <v>166.66666666666663</v>
      </c>
    </row>
    <row r="37" spans="1:13" s="2" customFormat="1" ht="15" hidden="1" customHeight="1">
      <c r="A37" s="28" t="s">
        <v>60</v>
      </c>
      <c r="B37" s="29"/>
      <c r="C37" s="30">
        <v>0</v>
      </c>
      <c r="D37" s="30">
        <f t="shared" si="0"/>
        <v>0</v>
      </c>
      <c r="E37" s="31">
        <f>D37*6854.6/(6854.6+1106.1+1882.8)</f>
        <v>0</v>
      </c>
      <c r="F37" s="31"/>
      <c r="G37" s="30">
        <f t="shared" si="8"/>
        <v>0</v>
      </c>
      <c r="H37" s="32">
        <f t="shared" si="1"/>
        <v>0</v>
      </c>
      <c r="I37" s="30">
        <f t="shared" si="7"/>
        <v>0</v>
      </c>
      <c r="J37" s="33">
        <f>I37*6854.6/(6854.6+1106.1+1882.8)</f>
        <v>0</v>
      </c>
      <c r="K37" s="33"/>
      <c r="L37" s="34">
        <f>I37*1882.8/(6854.6+1106.1+1882.8)</f>
        <v>0</v>
      </c>
      <c r="M37" s="32">
        <f t="shared" si="6"/>
        <v>0</v>
      </c>
    </row>
    <row r="38" spans="1:13" s="2" customFormat="1" ht="15" hidden="1" customHeight="1">
      <c r="A38" s="28" t="s">
        <v>61</v>
      </c>
      <c r="B38" s="29"/>
      <c r="C38" s="30">
        <v>0</v>
      </c>
      <c r="D38" s="30">
        <f t="shared" si="0"/>
        <v>0</v>
      </c>
      <c r="E38" s="31">
        <f>D38*6854.6/(6854.6+1106.1+1882.8)</f>
        <v>0</v>
      </c>
      <c r="F38" s="31"/>
      <c r="G38" s="30">
        <f t="shared" si="8"/>
        <v>0</v>
      </c>
      <c r="H38" s="32">
        <f t="shared" si="1"/>
        <v>0</v>
      </c>
      <c r="I38" s="30">
        <f t="shared" si="7"/>
        <v>0</v>
      </c>
      <c r="J38" s="33">
        <f>I38*6854.6/(6854.6+1106.1+1882.8)</f>
        <v>0</v>
      </c>
      <c r="K38" s="33"/>
      <c r="L38" s="34">
        <f>I38*1882.8/(6854.6+1106.1+1882.8)</f>
        <v>0</v>
      </c>
      <c r="M38" s="32">
        <f t="shared" si="6"/>
        <v>0</v>
      </c>
    </row>
    <row r="39" spans="1:13" s="2" customFormat="1" ht="25.5">
      <c r="A39" s="28" t="s">
        <v>62</v>
      </c>
      <c r="B39" s="29" t="s">
        <v>63</v>
      </c>
      <c r="C39" s="30">
        <v>27000</v>
      </c>
      <c r="D39" s="30">
        <f t="shared" si="0"/>
        <v>2250</v>
      </c>
      <c r="E39" s="31">
        <f>D39*7960.7/(6854.6+1106.1+1882.8)</f>
        <v>1819.6347843754761</v>
      </c>
      <c r="F39" s="31"/>
      <c r="G39" s="30">
        <f t="shared" si="8"/>
        <v>430.36521562452378</v>
      </c>
      <c r="H39" s="32"/>
      <c r="I39" s="30">
        <f t="shared" si="7"/>
        <v>2250</v>
      </c>
      <c r="J39" s="33">
        <f>I39*7960.7/(6854.6+1106.1+785.6)</f>
        <v>2047.9031133164879</v>
      </c>
      <c r="K39" s="33"/>
      <c r="L39" s="34">
        <f>I39*785.6/(6854.6+1106.1+785.6)</f>
        <v>202.09688668351185</v>
      </c>
      <c r="M39" s="32"/>
    </row>
    <row r="40" spans="1:13" s="2" customFormat="1" ht="38.25">
      <c r="A40" s="28" t="s">
        <v>64</v>
      </c>
      <c r="B40" s="29" t="s">
        <v>65</v>
      </c>
      <c r="C40" s="30">
        <v>38500</v>
      </c>
      <c r="D40" s="30">
        <f t="shared" si="0"/>
        <v>3208.3333333333335</v>
      </c>
      <c r="E40" s="31">
        <f>D40*7960.7/(6854.6+1106.1+1882.8)</f>
        <v>2594.6644147576235</v>
      </c>
      <c r="F40" s="31"/>
      <c r="G40" s="30">
        <f t="shared" si="8"/>
        <v>613.66891857570988</v>
      </c>
      <c r="H40" s="32"/>
      <c r="I40" s="30">
        <f t="shared" si="7"/>
        <v>3208.3333333333335</v>
      </c>
      <c r="J40" s="33">
        <f>I40*7960.7/(6854.6+1106.1+785.6)</f>
        <v>2920.1581430623996</v>
      </c>
      <c r="K40" s="33"/>
      <c r="L40" s="34">
        <f>I40*785.6/(6854.6+1106.1+785.6)</f>
        <v>288.17519027093363</v>
      </c>
      <c r="M40" s="32"/>
    </row>
    <row r="41" spans="1:13" s="2" customFormat="1" ht="38.25">
      <c r="A41" s="28" t="s">
        <v>66</v>
      </c>
      <c r="B41" s="29" t="s">
        <v>67</v>
      </c>
      <c r="C41" s="30">
        <v>5500</v>
      </c>
      <c r="D41" s="30">
        <f t="shared" si="0"/>
        <v>458.33333333333331</v>
      </c>
      <c r="E41" s="31"/>
      <c r="F41" s="31"/>
      <c r="G41" s="30">
        <f>D41</f>
        <v>458.33333333333331</v>
      </c>
      <c r="H41" s="32"/>
      <c r="I41" s="30">
        <f t="shared" si="7"/>
        <v>458.33333333333331</v>
      </c>
      <c r="J41" s="33"/>
      <c r="K41" s="33"/>
      <c r="L41" s="34">
        <f>I41</f>
        <v>458.33333333333331</v>
      </c>
      <c r="M41" s="32"/>
    </row>
    <row r="42" spans="1:13" s="64" customFormat="1" ht="25.5">
      <c r="A42" s="60" t="s">
        <v>68</v>
      </c>
      <c r="B42" s="61"/>
      <c r="C42" s="37">
        <v>4000</v>
      </c>
      <c r="D42" s="37">
        <f>C42/12</f>
        <v>333.33333333333331</v>
      </c>
      <c r="E42" s="37">
        <f>D42</f>
        <v>333.33333333333331</v>
      </c>
      <c r="F42" s="37"/>
      <c r="G42" s="37"/>
      <c r="H42" s="62"/>
      <c r="I42" s="37">
        <f>C42/12</f>
        <v>333.33333333333331</v>
      </c>
      <c r="J42" s="63"/>
      <c r="K42" s="63"/>
      <c r="L42" s="63"/>
      <c r="M42" s="62"/>
    </row>
    <row r="43" spans="1:13" s="2" customFormat="1">
      <c r="A43" s="28" t="s">
        <v>69</v>
      </c>
      <c r="B43" s="39"/>
      <c r="C43" s="30">
        <v>97000</v>
      </c>
      <c r="D43" s="30">
        <f t="shared" si="0"/>
        <v>8083.333333333333</v>
      </c>
      <c r="E43" s="31">
        <f>D43</f>
        <v>8083.333333333333</v>
      </c>
      <c r="F43" s="31"/>
      <c r="G43" s="30"/>
      <c r="H43" s="32"/>
      <c r="I43" s="30">
        <f t="shared" si="7"/>
        <v>8083.333333333333</v>
      </c>
      <c r="J43" s="33"/>
      <c r="K43" s="33"/>
      <c r="L43" s="33"/>
      <c r="M43" s="32"/>
    </row>
    <row r="44" spans="1:13" s="2" customFormat="1" hidden="1">
      <c r="A44" s="28"/>
      <c r="B44" s="39"/>
      <c r="C44" s="30"/>
      <c r="D44" s="30"/>
      <c r="E44" s="31"/>
      <c r="F44" s="31"/>
      <c r="G44" s="31"/>
      <c r="H44" s="32"/>
      <c r="I44" s="30"/>
      <c r="J44" s="33"/>
      <c r="K44" s="33"/>
      <c r="L44" s="33"/>
      <c r="M44" s="32"/>
    </row>
    <row r="45" spans="1:13" s="2" customFormat="1" hidden="1">
      <c r="A45" s="28"/>
      <c r="B45" s="39"/>
      <c r="C45" s="30"/>
      <c r="D45" s="30"/>
      <c r="E45" s="31"/>
      <c r="F45" s="31"/>
      <c r="G45" s="31"/>
      <c r="H45" s="32"/>
      <c r="I45" s="30"/>
      <c r="J45" s="33"/>
      <c r="K45" s="33"/>
      <c r="L45" s="33"/>
      <c r="M45" s="32"/>
    </row>
    <row r="46" spans="1:13" s="2" customFormat="1" hidden="1">
      <c r="A46" s="28"/>
      <c r="B46" s="39"/>
      <c r="C46" s="30"/>
      <c r="D46" s="30"/>
      <c r="E46" s="31"/>
      <c r="F46" s="31"/>
      <c r="G46" s="31"/>
      <c r="H46" s="32"/>
      <c r="I46" s="30"/>
      <c r="J46" s="33"/>
      <c r="K46" s="33"/>
      <c r="L46" s="33"/>
      <c r="M46" s="32"/>
    </row>
    <row r="47" spans="1:13" s="2" customFormat="1">
      <c r="A47" s="142" t="s">
        <v>70</v>
      </c>
      <c r="B47" s="142"/>
      <c r="C47" s="40">
        <f>SUM(C10:C46)</f>
        <v>2865889.95</v>
      </c>
      <c r="D47" s="40">
        <f>SUM(D10:D46)</f>
        <v>234187.30352564104</v>
      </c>
      <c r="E47" s="40">
        <f>SUM(E10:E46)</f>
        <v>214320.52520618515</v>
      </c>
      <c r="F47" s="40"/>
      <c r="G47" s="40">
        <f>SUM(G10:G46)</f>
        <v>24503.637293814863</v>
      </c>
      <c r="H47" s="41"/>
      <c r="I47" s="40">
        <f>SUM(I10:I46)</f>
        <v>238824.16250000001</v>
      </c>
      <c r="J47" s="42">
        <f>SUM(J10:J46)</f>
        <v>218252.10196087675</v>
      </c>
      <c r="K47" s="42"/>
      <c r="L47" s="42">
        <f>SUM(L10:L46)</f>
        <v>12155.393872456541</v>
      </c>
      <c r="M47" s="41"/>
    </row>
    <row r="48" spans="1:13">
      <c r="A48" s="143" t="s">
        <v>71</v>
      </c>
      <c r="B48" s="144"/>
      <c r="C48" s="144"/>
      <c r="D48" s="145"/>
      <c r="E48" s="43">
        <f>SUM(E10:E46)/7960.7</f>
        <v>26.922321555414115</v>
      </c>
      <c r="F48" s="43"/>
      <c r="G48" s="43">
        <f>SUM(G10:G46)/1882.8</f>
        <v>13.01446637657471</v>
      </c>
      <c r="I48" s="43">
        <f>SUM(I10:I46)/8746.3</f>
        <v>27.305736425688579</v>
      </c>
      <c r="J48" s="44">
        <f>SUM(J10:J46)/7960.7</f>
        <v>27.416194802074788</v>
      </c>
      <c r="K48" s="44"/>
      <c r="L48" s="44">
        <f>SUM(L10:L46)/1882.8</f>
        <v>6.4560196900661468</v>
      </c>
    </row>
    <row r="49" spans="1:13">
      <c r="A49" s="146" t="s">
        <v>72</v>
      </c>
      <c r="B49" s="146"/>
      <c r="C49" s="146"/>
      <c r="D49" s="146"/>
      <c r="E49" s="146"/>
      <c r="F49" s="146"/>
      <c r="G49" s="43">
        <f>G48*1882.8/49</f>
        <v>500.0742304860176</v>
      </c>
      <c r="J49"/>
      <c r="K49"/>
      <c r="L49" s="44">
        <f>I48*785.6/49</f>
        <v>437.78339869430511</v>
      </c>
    </row>
    <row r="50" spans="1:13" ht="9" customHeight="1">
      <c r="A50" s="147"/>
      <c r="B50" s="148"/>
      <c r="C50" s="148"/>
      <c r="D50" s="148"/>
      <c r="E50" s="148"/>
      <c r="F50" s="148"/>
      <c r="G50" s="149"/>
      <c r="J50"/>
      <c r="K50"/>
      <c r="L50"/>
    </row>
    <row r="51" spans="1:13" ht="15" hidden="1" customHeight="1">
      <c r="A51" s="126"/>
      <c r="B51" s="126"/>
      <c r="C51" s="126"/>
      <c r="D51" s="126"/>
      <c r="E51" s="126"/>
      <c r="F51" s="126"/>
      <c r="G51" s="126"/>
      <c r="J51"/>
      <c r="K51"/>
      <c r="L51"/>
    </row>
    <row r="52" spans="1:13" s="16" customFormat="1" ht="12.75" customHeight="1">
      <c r="A52" s="127" t="s">
        <v>73</v>
      </c>
      <c r="B52" s="128"/>
      <c r="C52" s="133" t="s">
        <v>3</v>
      </c>
      <c r="D52" s="134"/>
      <c r="E52" s="135" t="s">
        <v>74</v>
      </c>
      <c r="F52" s="135"/>
      <c r="G52" s="135"/>
      <c r="H52" s="45"/>
      <c r="J52" s="136" t="s">
        <v>75</v>
      </c>
      <c r="K52" s="136"/>
      <c r="L52" s="136"/>
      <c r="M52" s="45"/>
    </row>
    <row r="53" spans="1:13" s="16" customFormat="1" ht="15" customHeight="1">
      <c r="A53" s="129"/>
      <c r="B53" s="130"/>
      <c r="C53" s="137" t="s">
        <v>86</v>
      </c>
      <c r="D53" s="138"/>
      <c r="E53" s="18" t="s">
        <v>7</v>
      </c>
      <c r="F53" s="18"/>
      <c r="G53" s="18" t="s">
        <v>8</v>
      </c>
      <c r="H53" s="45"/>
      <c r="J53" s="46" t="s">
        <v>76</v>
      </c>
      <c r="K53" s="46"/>
      <c r="L53" s="46" t="s">
        <v>8</v>
      </c>
      <c r="M53" s="45"/>
    </row>
    <row r="54" spans="1:13" s="16" customFormat="1" ht="15.75">
      <c r="A54" s="131"/>
      <c r="B54" s="132"/>
      <c r="C54" s="139" t="s">
        <v>9</v>
      </c>
      <c r="D54" s="140"/>
      <c r="E54" s="22" t="s">
        <v>10</v>
      </c>
      <c r="F54" s="22"/>
      <c r="G54" s="22" t="s">
        <v>11</v>
      </c>
      <c r="H54" s="45"/>
      <c r="J54" s="46" t="s">
        <v>10</v>
      </c>
      <c r="K54" s="46"/>
      <c r="L54" s="46" t="s">
        <v>13</v>
      </c>
      <c r="M54" s="45"/>
    </row>
    <row r="55" spans="1:13" ht="30" customHeight="1">
      <c r="A55" s="125" t="s">
        <v>77</v>
      </c>
      <c r="B55" s="125"/>
      <c r="C55" s="118">
        <f>SUM(E55:G55)</f>
        <v>2865624.5279999999</v>
      </c>
      <c r="D55" s="119"/>
      <c r="E55" s="47">
        <f>26.92*7960.7*12</f>
        <v>2571624.5279999999</v>
      </c>
      <c r="F55" s="47"/>
      <c r="G55" s="47">
        <f>500*49*12</f>
        <v>294000</v>
      </c>
      <c r="J55" s="48">
        <f>26.01*7960.7*12</f>
        <v>2484693.6839999999</v>
      </c>
      <c r="K55" s="48"/>
      <c r="L55" s="48">
        <f>785.6*26.01*12</f>
        <v>245201.47200000001</v>
      </c>
    </row>
    <row r="56" spans="1:13" ht="30" customHeight="1">
      <c r="A56" s="125" t="s">
        <v>78</v>
      </c>
      <c r="B56" s="125"/>
      <c r="C56" s="118">
        <v>30000</v>
      </c>
      <c r="D56" s="119"/>
      <c r="E56" s="47"/>
      <c r="F56" s="47"/>
      <c r="G56" s="47"/>
      <c r="J56" s="48"/>
      <c r="K56" s="48"/>
      <c r="L56" s="48"/>
    </row>
    <row r="57" spans="1:13" ht="30" hidden="1" customHeight="1">
      <c r="A57" s="116" t="s">
        <v>79</v>
      </c>
      <c r="B57" s="117"/>
      <c r="C57" s="118">
        <f>0-C47</f>
        <v>-2865889.95</v>
      </c>
      <c r="D57" s="119"/>
      <c r="E57" s="47">
        <f>E47*12</f>
        <v>2571846.3024742217</v>
      </c>
      <c r="F57" s="47">
        <f>F47*12</f>
        <v>0</v>
      </c>
      <c r="G57" s="47">
        <f>G47*12</f>
        <v>294043.64752577839</v>
      </c>
      <c r="J57" s="48">
        <f>J47*12</f>
        <v>2619025.2235305212</v>
      </c>
      <c r="K57" s="48">
        <f>K47*12</f>
        <v>0</v>
      </c>
      <c r="L57" s="48">
        <f>L47*12</f>
        <v>145864.72646947851</v>
      </c>
    </row>
    <row r="58" spans="1:13" ht="15" hidden="1" customHeight="1">
      <c r="A58" s="116" t="s">
        <v>80</v>
      </c>
      <c r="B58" s="117"/>
      <c r="C58" s="118">
        <f>[1]сод.дома!C60</f>
        <v>186608.5102999988</v>
      </c>
      <c r="D58" s="119"/>
      <c r="E58" s="47">
        <f>[1]сод.дома!D60</f>
        <v>256192.77004134795</v>
      </c>
      <c r="F58" s="47">
        <f>[1]сод.дома!E60</f>
        <v>0</v>
      </c>
      <c r="G58" s="47">
        <f>[1]сод.дома!F60</f>
        <v>-69584.91974134816</v>
      </c>
      <c r="J58" s="48">
        <f>[1]сод.дома!I60</f>
        <v>-69191.404683952773</v>
      </c>
      <c r="K58" s="48">
        <f>[1]сод.дома!J60</f>
        <v>0</v>
      </c>
      <c r="L58" s="48">
        <f>[1]сод.дома!K60</f>
        <v>0</v>
      </c>
    </row>
    <row r="59" spans="1:13" ht="7.5" customHeight="1">
      <c r="A59" s="120"/>
      <c r="B59" s="120"/>
      <c r="C59" s="120"/>
      <c r="D59" s="120"/>
      <c r="E59" s="120"/>
      <c r="F59" s="120"/>
      <c r="G59" s="120"/>
      <c r="J59"/>
      <c r="K59"/>
      <c r="L59"/>
    </row>
    <row r="60" spans="1:13" ht="15.75">
      <c r="A60" s="121" t="s">
        <v>81</v>
      </c>
      <c r="B60" s="121"/>
      <c r="C60" s="122">
        <f>SUM(C55:D57)</f>
        <v>29734.577999999747</v>
      </c>
      <c r="D60" s="123"/>
      <c r="E60" s="47"/>
      <c r="F60" s="47"/>
      <c r="G60" s="47"/>
      <c r="J60" s="48">
        <f>J55-J47*12</f>
        <v>-134331.53953052126</v>
      </c>
      <c r="K60" s="48">
        <f>K55-K57+I56</f>
        <v>0</v>
      </c>
      <c r="L60" s="48">
        <f>L55-L47*12</f>
        <v>99336.745530521497</v>
      </c>
    </row>
    <row r="61" spans="1:13" ht="15.75">
      <c r="A61" s="49"/>
      <c r="B61" s="49"/>
      <c r="C61" s="50"/>
      <c r="D61" s="50"/>
      <c r="E61" s="51"/>
      <c r="F61" s="51"/>
      <c r="G61" s="51"/>
      <c r="I61" s="50"/>
      <c r="J61" s="52"/>
      <c r="K61" s="52"/>
      <c r="L61" s="52"/>
    </row>
    <row r="62" spans="1:13" ht="17.25" customHeight="1">
      <c r="A62" s="115" t="s">
        <v>82</v>
      </c>
      <c r="B62" s="124"/>
      <c r="C62" s="124"/>
      <c r="D62" s="124"/>
      <c r="E62" s="124"/>
      <c r="F62" s="124"/>
      <c r="G62" s="124"/>
      <c r="J62"/>
      <c r="K62"/>
      <c r="L62"/>
    </row>
    <row r="63" spans="1:13" ht="15" customHeight="1">
      <c r="A63" s="115" t="s">
        <v>87</v>
      </c>
      <c r="B63" s="115"/>
      <c r="C63" s="115"/>
      <c r="D63" s="115"/>
      <c r="E63" s="115"/>
      <c r="F63" s="115"/>
      <c r="G63" s="115"/>
      <c r="J63"/>
      <c r="K63"/>
      <c r="L63"/>
    </row>
    <row r="64" spans="1:13" ht="26.25" customHeight="1">
      <c r="D64" s="55"/>
      <c r="I64" s="55"/>
    </row>
    <row r="65" spans="2:9">
      <c r="B65" s="58" t="s">
        <v>83</v>
      </c>
      <c r="D65" s="59" t="s">
        <v>84</v>
      </c>
      <c r="I65" s="59" t="s">
        <v>84</v>
      </c>
    </row>
  </sheetData>
  <mergeCells count="38">
    <mergeCell ref="J6:L6"/>
    <mergeCell ref="A1:G1"/>
    <mergeCell ref="A4:G4"/>
    <mergeCell ref="A6:A8"/>
    <mergeCell ref="B6:B8"/>
    <mergeCell ref="E6:G6"/>
    <mergeCell ref="A50:G50"/>
    <mergeCell ref="B24:B27"/>
    <mergeCell ref="A30:A31"/>
    <mergeCell ref="C30:C31"/>
    <mergeCell ref="D30:D31"/>
    <mergeCell ref="E30:E31"/>
    <mergeCell ref="F30:F31"/>
    <mergeCell ref="G30:G31"/>
    <mergeCell ref="I30:I31"/>
    <mergeCell ref="A47:B47"/>
    <mergeCell ref="A48:D48"/>
    <mergeCell ref="A49:F49"/>
    <mergeCell ref="A51:G51"/>
    <mergeCell ref="A52:B54"/>
    <mergeCell ref="C52:D52"/>
    <mergeCell ref="E52:G52"/>
    <mergeCell ref="J52:L52"/>
    <mergeCell ref="C53:D53"/>
    <mergeCell ref="C54:D54"/>
    <mergeCell ref="A55:B55"/>
    <mergeCell ref="C55:D55"/>
    <mergeCell ref="A56:B56"/>
    <mergeCell ref="C56:D56"/>
    <mergeCell ref="A57:B57"/>
    <mergeCell ref="C57:D57"/>
    <mergeCell ref="A63:G63"/>
    <mergeCell ref="A58:B58"/>
    <mergeCell ref="C58:D58"/>
    <mergeCell ref="A59:G59"/>
    <mergeCell ref="A60:B60"/>
    <mergeCell ref="C60:D60"/>
    <mergeCell ref="A62:G6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>
      <selection activeCell="M33" sqref="M33"/>
    </sheetView>
  </sheetViews>
  <sheetFormatPr defaultRowHeight="15"/>
  <cols>
    <col min="1" max="1" width="3.7109375" style="2" customWidth="1"/>
    <col min="2" max="2" width="31.140625" style="2" customWidth="1"/>
    <col min="3" max="3" width="9.140625" style="2"/>
    <col min="4" max="4" width="4.5703125" style="2" customWidth="1"/>
    <col min="5" max="5" width="2.7109375" style="65" customWidth="1"/>
    <col min="6" max="6" width="4.85546875" style="2" customWidth="1"/>
    <col min="7" max="7" width="4.140625" style="2" customWidth="1"/>
    <col min="8" max="8" width="3.28515625" style="2" customWidth="1"/>
    <col min="9" max="9" width="9.28515625" style="2" customWidth="1"/>
    <col min="10" max="10" width="3.42578125" style="2" customWidth="1"/>
    <col min="11" max="11" width="13" style="2" customWidth="1"/>
    <col min="12" max="12" width="9.140625" style="2"/>
    <col min="13" max="13" width="11.42578125" style="2" bestFit="1" customWidth="1"/>
    <col min="14" max="254" width="9.140625" style="2"/>
    <col min="255" max="255" width="3.7109375" style="2" customWidth="1"/>
    <col min="256" max="256" width="31.140625" style="2" customWidth="1"/>
    <col min="257" max="257" width="9.140625" style="2"/>
    <col min="258" max="258" width="4.5703125" style="2" customWidth="1"/>
    <col min="259" max="259" width="2.7109375" style="2" customWidth="1"/>
    <col min="260" max="260" width="4.85546875" style="2" customWidth="1"/>
    <col min="261" max="261" width="4.140625" style="2" customWidth="1"/>
    <col min="262" max="262" width="3.28515625" style="2" customWidth="1"/>
    <col min="263" max="263" width="9.28515625" style="2" customWidth="1"/>
    <col min="264" max="264" width="3.42578125" style="2" customWidth="1"/>
    <col min="265" max="265" width="13" style="2" customWidth="1"/>
    <col min="266" max="510" width="9.140625" style="2"/>
    <col min="511" max="511" width="3.7109375" style="2" customWidth="1"/>
    <col min="512" max="512" width="31.140625" style="2" customWidth="1"/>
    <col min="513" max="513" width="9.140625" style="2"/>
    <col min="514" max="514" width="4.5703125" style="2" customWidth="1"/>
    <col min="515" max="515" width="2.7109375" style="2" customWidth="1"/>
    <col min="516" max="516" width="4.85546875" style="2" customWidth="1"/>
    <col min="517" max="517" width="4.140625" style="2" customWidth="1"/>
    <col min="518" max="518" width="3.28515625" style="2" customWidth="1"/>
    <col min="519" max="519" width="9.28515625" style="2" customWidth="1"/>
    <col min="520" max="520" width="3.42578125" style="2" customWidth="1"/>
    <col min="521" max="521" width="13" style="2" customWidth="1"/>
    <col min="522" max="766" width="9.140625" style="2"/>
    <col min="767" max="767" width="3.7109375" style="2" customWidth="1"/>
    <col min="768" max="768" width="31.140625" style="2" customWidth="1"/>
    <col min="769" max="769" width="9.140625" style="2"/>
    <col min="770" max="770" width="4.5703125" style="2" customWidth="1"/>
    <col min="771" max="771" width="2.7109375" style="2" customWidth="1"/>
    <col min="772" max="772" width="4.85546875" style="2" customWidth="1"/>
    <col min="773" max="773" width="4.140625" style="2" customWidth="1"/>
    <col min="774" max="774" width="3.28515625" style="2" customWidth="1"/>
    <col min="775" max="775" width="9.28515625" style="2" customWidth="1"/>
    <col min="776" max="776" width="3.42578125" style="2" customWidth="1"/>
    <col min="777" max="777" width="13" style="2" customWidth="1"/>
    <col min="778" max="1022" width="9.140625" style="2"/>
    <col min="1023" max="1023" width="3.7109375" style="2" customWidth="1"/>
    <col min="1024" max="1024" width="31.140625" style="2" customWidth="1"/>
    <col min="1025" max="1025" width="9.140625" style="2"/>
    <col min="1026" max="1026" width="4.5703125" style="2" customWidth="1"/>
    <col min="1027" max="1027" width="2.7109375" style="2" customWidth="1"/>
    <col min="1028" max="1028" width="4.85546875" style="2" customWidth="1"/>
    <col min="1029" max="1029" width="4.140625" style="2" customWidth="1"/>
    <col min="1030" max="1030" width="3.28515625" style="2" customWidth="1"/>
    <col min="1031" max="1031" width="9.28515625" style="2" customWidth="1"/>
    <col min="1032" max="1032" width="3.42578125" style="2" customWidth="1"/>
    <col min="1033" max="1033" width="13" style="2" customWidth="1"/>
    <col min="1034" max="1278" width="9.140625" style="2"/>
    <col min="1279" max="1279" width="3.7109375" style="2" customWidth="1"/>
    <col min="1280" max="1280" width="31.140625" style="2" customWidth="1"/>
    <col min="1281" max="1281" width="9.140625" style="2"/>
    <col min="1282" max="1282" width="4.5703125" style="2" customWidth="1"/>
    <col min="1283" max="1283" width="2.7109375" style="2" customWidth="1"/>
    <col min="1284" max="1284" width="4.85546875" style="2" customWidth="1"/>
    <col min="1285" max="1285" width="4.140625" style="2" customWidth="1"/>
    <col min="1286" max="1286" width="3.28515625" style="2" customWidth="1"/>
    <col min="1287" max="1287" width="9.28515625" style="2" customWidth="1"/>
    <col min="1288" max="1288" width="3.42578125" style="2" customWidth="1"/>
    <col min="1289" max="1289" width="13" style="2" customWidth="1"/>
    <col min="1290" max="1534" width="9.140625" style="2"/>
    <col min="1535" max="1535" width="3.7109375" style="2" customWidth="1"/>
    <col min="1536" max="1536" width="31.140625" style="2" customWidth="1"/>
    <col min="1537" max="1537" width="9.140625" style="2"/>
    <col min="1538" max="1538" width="4.5703125" style="2" customWidth="1"/>
    <col min="1539" max="1539" width="2.7109375" style="2" customWidth="1"/>
    <col min="1540" max="1540" width="4.85546875" style="2" customWidth="1"/>
    <col min="1541" max="1541" width="4.140625" style="2" customWidth="1"/>
    <col min="1542" max="1542" width="3.28515625" style="2" customWidth="1"/>
    <col min="1543" max="1543" width="9.28515625" style="2" customWidth="1"/>
    <col min="1544" max="1544" width="3.42578125" style="2" customWidth="1"/>
    <col min="1545" max="1545" width="13" style="2" customWidth="1"/>
    <col min="1546" max="1790" width="9.140625" style="2"/>
    <col min="1791" max="1791" width="3.7109375" style="2" customWidth="1"/>
    <col min="1792" max="1792" width="31.140625" style="2" customWidth="1"/>
    <col min="1793" max="1793" width="9.140625" style="2"/>
    <col min="1794" max="1794" width="4.5703125" style="2" customWidth="1"/>
    <col min="1795" max="1795" width="2.7109375" style="2" customWidth="1"/>
    <col min="1796" max="1796" width="4.85546875" style="2" customWidth="1"/>
    <col min="1797" max="1797" width="4.140625" style="2" customWidth="1"/>
    <col min="1798" max="1798" width="3.28515625" style="2" customWidth="1"/>
    <col min="1799" max="1799" width="9.28515625" style="2" customWidth="1"/>
    <col min="1800" max="1800" width="3.42578125" style="2" customWidth="1"/>
    <col min="1801" max="1801" width="13" style="2" customWidth="1"/>
    <col min="1802" max="2046" width="9.140625" style="2"/>
    <col min="2047" max="2047" width="3.7109375" style="2" customWidth="1"/>
    <col min="2048" max="2048" width="31.140625" style="2" customWidth="1"/>
    <col min="2049" max="2049" width="9.140625" style="2"/>
    <col min="2050" max="2050" width="4.5703125" style="2" customWidth="1"/>
    <col min="2051" max="2051" width="2.7109375" style="2" customWidth="1"/>
    <col min="2052" max="2052" width="4.85546875" style="2" customWidth="1"/>
    <col min="2053" max="2053" width="4.140625" style="2" customWidth="1"/>
    <col min="2054" max="2054" width="3.28515625" style="2" customWidth="1"/>
    <col min="2055" max="2055" width="9.28515625" style="2" customWidth="1"/>
    <col min="2056" max="2056" width="3.42578125" style="2" customWidth="1"/>
    <col min="2057" max="2057" width="13" style="2" customWidth="1"/>
    <col min="2058" max="2302" width="9.140625" style="2"/>
    <col min="2303" max="2303" width="3.7109375" style="2" customWidth="1"/>
    <col min="2304" max="2304" width="31.140625" style="2" customWidth="1"/>
    <col min="2305" max="2305" width="9.140625" style="2"/>
    <col min="2306" max="2306" width="4.5703125" style="2" customWidth="1"/>
    <col min="2307" max="2307" width="2.7109375" style="2" customWidth="1"/>
    <col min="2308" max="2308" width="4.85546875" style="2" customWidth="1"/>
    <col min="2309" max="2309" width="4.140625" style="2" customWidth="1"/>
    <col min="2310" max="2310" width="3.28515625" style="2" customWidth="1"/>
    <col min="2311" max="2311" width="9.28515625" style="2" customWidth="1"/>
    <col min="2312" max="2312" width="3.42578125" style="2" customWidth="1"/>
    <col min="2313" max="2313" width="13" style="2" customWidth="1"/>
    <col min="2314" max="2558" width="9.140625" style="2"/>
    <col min="2559" max="2559" width="3.7109375" style="2" customWidth="1"/>
    <col min="2560" max="2560" width="31.140625" style="2" customWidth="1"/>
    <col min="2561" max="2561" width="9.140625" style="2"/>
    <col min="2562" max="2562" width="4.5703125" style="2" customWidth="1"/>
    <col min="2563" max="2563" width="2.7109375" style="2" customWidth="1"/>
    <col min="2564" max="2564" width="4.85546875" style="2" customWidth="1"/>
    <col min="2565" max="2565" width="4.140625" style="2" customWidth="1"/>
    <col min="2566" max="2566" width="3.28515625" style="2" customWidth="1"/>
    <col min="2567" max="2567" width="9.28515625" style="2" customWidth="1"/>
    <col min="2568" max="2568" width="3.42578125" style="2" customWidth="1"/>
    <col min="2569" max="2569" width="13" style="2" customWidth="1"/>
    <col min="2570" max="2814" width="9.140625" style="2"/>
    <col min="2815" max="2815" width="3.7109375" style="2" customWidth="1"/>
    <col min="2816" max="2816" width="31.140625" style="2" customWidth="1"/>
    <col min="2817" max="2817" width="9.140625" style="2"/>
    <col min="2818" max="2818" width="4.5703125" style="2" customWidth="1"/>
    <col min="2819" max="2819" width="2.7109375" style="2" customWidth="1"/>
    <col min="2820" max="2820" width="4.85546875" style="2" customWidth="1"/>
    <col min="2821" max="2821" width="4.140625" style="2" customWidth="1"/>
    <col min="2822" max="2822" width="3.28515625" style="2" customWidth="1"/>
    <col min="2823" max="2823" width="9.28515625" style="2" customWidth="1"/>
    <col min="2824" max="2824" width="3.42578125" style="2" customWidth="1"/>
    <col min="2825" max="2825" width="13" style="2" customWidth="1"/>
    <col min="2826" max="3070" width="9.140625" style="2"/>
    <col min="3071" max="3071" width="3.7109375" style="2" customWidth="1"/>
    <col min="3072" max="3072" width="31.140625" style="2" customWidth="1"/>
    <col min="3073" max="3073" width="9.140625" style="2"/>
    <col min="3074" max="3074" width="4.5703125" style="2" customWidth="1"/>
    <col min="3075" max="3075" width="2.7109375" style="2" customWidth="1"/>
    <col min="3076" max="3076" width="4.85546875" style="2" customWidth="1"/>
    <col min="3077" max="3077" width="4.140625" style="2" customWidth="1"/>
    <col min="3078" max="3078" width="3.28515625" style="2" customWidth="1"/>
    <col min="3079" max="3079" width="9.28515625" style="2" customWidth="1"/>
    <col min="3080" max="3080" width="3.42578125" style="2" customWidth="1"/>
    <col min="3081" max="3081" width="13" style="2" customWidth="1"/>
    <col min="3082" max="3326" width="9.140625" style="2"/>
    <col min="3327" max="3327" width="3.7109375" style="2" customWidth="1"/>
    <col min="3328" max="3328" width="31.140625" style="2" customWidth="1"/>
    <col min="3329" max="3329" width="9.140625" style="2"/>
    <col min="3330" max="3330" width="4.5703125" style="2" customWidth="1"/>
    <col min="3331" max="3331" width="2.7109375" style="2" customWidth="1"/>
    <col min="3332" max="3332" width="4.85546875" style="2" customWidth="1"/>
    <col min="3333" max="3333" width="4.140625" style="2" customWidth="1"/>
    <col min="3334" max="3334" width="3.28515625" style="2" customWidth="1"/>
    <col min="3335" max="3335" width="9.28515625" style="2" customWidth="1"/>
    <col min="3336" max="3336" width="3.42578125" style="2" customWidth="1"/>
    <col min="3337" max="3337" width="13" style="2" customWidth="1"/>
    <col min="3338" max="3582" width="9.140625" style="2"/>
    <col min="3583" max="3583" width="3.7109375" style="2" customWidth="1"/>
    <col min="3584" max="3584" width="31.140625" style="2" customWidth="1"/>
    <col min="3585" max="3585" width="9.140625" style="2"/>
    <col min="3586" max="3586" width="4.5703125" style="2" customWidth="1"/>
    <col min="3587" max="3587" width="2.7109375" style="2" customWidth="1"/>
    <col min="3588" max="3588" width="4.85546875" style="2" customWidth="1"/>
    <col min="3589" max="3589" width="4.140625" style="2" customWidth="1"/>
    <col min="3590" max="3590" width="3.28515625" style="2" customWidth="1"/>
    <col min="3591" max="3591" width="9.28515625" style="2" customWidth="1"/>
    <col min="3592" max="3592" width="3.42578125" style="2" customWidth="1"/>
    <col min="3593" max="3593" width="13" style="2" customWidth="1"/>
    <col min="3594" max="3838" width="9.140625" style="2"/>
    <col min="3839" max="3839" width="3.7109375" style="2" customWidth="1"/>
    <col min="3840" max="3840" width="31.140625" style="2" customWidth="1"/>
    <col min="3841" max="3841" width="9.140625" style="2"/>
    <col min="3842" max="3842" width="4.5703125" style="2" customWidth="1"/>
    <col min="3843" max="3843" width="2.7109375" style="2" customWidth="1"/>
    <col min="3844" max="3844" width="4.85546875" style="2" customWidth="1"/>
    <col min="3845" max="3845" width="4.140625" style="2" customWidth="1"/>
    <col min="3846" max="3846" width="3.28515625" style="2" customWidth="1"/>
    <col min="3847" max="3847" width="9.28515625" style="2" customWidth="1"/>
    <col min="3848" max="3848" width="3.42578125" style="2" customWidth="1"/>
    <col min="3849" max="3849" width="13" style="2" customWidth="1"/>
    <col min="3850" max="4094" width="9.140625" style="2"/>
    <col min="4095" max="4095" width="3.7109375" style="2" customWidth="1"/>
    <col min="4096" max="4096" width="31.140625" style="2" customWidth="1"/>
    <col min="4097" max="4097" width="9.140625" style="2"/>
    <col min="4098" max="4098" width="4.5703125" style="2" customWidth="1"/>
    <col min="4099" max="4099" width="2.7109375" style="2" customWidth="1"/>
    <col min="4100" max="4100" width="4.85546875" style="2" customWidth="1"/>
    <col min="4101" max="4101" width="4.140625" style="2" customWidth="1"/>
    <col min="4102" max="4102" width="3.28515625" style="2" customWidth="1"/>
    <col min="4103" max="4103" width="9.28515625" style="2" customWidth="1"/>
    <col min="4104" max="4104" width="3.42578125" style="2" customWidth="1"/>
    <col min="4105" max="4105" width="13" style="2" customWidth="1"/>
    <col min="4106" max="4350" width="9.140625" style="2"/>
    <col min="4351" max="4351" width="3.7109375" style="2" customWidth="1"/>
    <col min="4352" max="4352" width="31.140625" style="2" customWidth="1"/>
    <col min="4353" max="4353" width="9.140625" style="2"/>
    <col min="4354" max="4354" width="4.5703125" style="2" customWidth="1"/>
    <col min="4355" max="4355" width="2.7109375" style="2" customWidth="1"/>
    <col min="4356" max="4356" width="4.85546875" style="2" customWidth="1"/>
    <col min="4357" max="4357" width="4.140625" style="2" customWidth="1"/>
    <col min="4358" max="4358" width="3.28515625" style="2" customWidth="1"/>
    <col min="4359" max="4359" width="9.28515625" style="2" customWidth="1"/>
    <col min="4360" max="4360" width="3.42578125" style="2" customWidth="1"/>
    <col min="4361" max="4361" width="13" style="2" customWidth="1"/>
    <col min="4362" max="4606" width="9.140625" style="2"/>
    <col min="4607" max="4607" width="3.7109375" style="2" customWidth="1"/>
    <col min="4608" max="4608" width="31.140625" style="2" customWidth="1"/>
    <col min="4609" max="4609" width="9.140625" style="2"/>
    <col min="4610" max="4610" width="4.5703125" style="2" customWidth="1"/>
    <col min="4611" max="4611" width="2.7109375" style="2" customWidth="1"/>
    <col min="4612" max="4612" width="4.85546875" style="2" customWidth="1"/>
    <col min="4613" max="4613" width="4.140625" style="2" customWidth="1"/>
    <col min="4614" max="4614" width="3.28515625" style="2" customWidth="1"/>
    <col min="4615" max="4615" width="9.28515625" style="2" customWidth="1"/>
    <col min="4616" max="4616" width="3.42578125" style="2" customWidth="1"/>
    <col min="4617" max="4617" width="13" style="2" customWidth="1"/>
    <col min="4618" max="4862" width="9.140625" style="2"/>
    <col min="4863" max="4863" width="3.7109375" style="2" customWidth="1"/>
    <col min="4864" max="4864" width="31.140625" style="2" customWidth="1"/>
    <col min="4865" max="4865" width="9.140625" style="2"/>
    <col min="4866" max="4866" width="4.5703125" style="2" customWidth="1"/>
    <col min="4867" max="4867" width="2.7109375" style="2" customWidth="1"/>
    <col min="4868" max="4868" width="4.85546875" style="2" customWidth="1"/>
    <col min="4869" max="4869" width="4.140625" style="2" customWidth="1"/>
    <col min="4870" max="4870" width="3.28515625" style="2" customWidth="1"/>
    <col min="4871" max="4871" width="9.28515625" style="2" customWidth="1"/>
    <col min="4872" max="4872" width="3.42578125" style="2" customWidth="1"/>
    <col min="4873" max="4873" width="13" style="2" customWidth="1"/>
    <col min="4874" max="5118" width="9.140625" style="2"/>
    <col min="5119" max="5119" width="3.7109375" style="2" customWidth="1"/>
    <col min="5120" max="5120" width="31.140625" style="2" customWidth="1"/>
    <col min="5121" max="5121" width="9.140625" style="2"/>
    <col min="5122" max="5122" width="4.5703125" style="2" customWidth="1"/>
    <col min="5123" max="5123" width="2.7109375" style="2" customWidth="1"/>
    <col min="5124" max="5124" width="4.85546875" style="2" customWidth="1"/>
    <col min="5125" max="5125" width="4.140625" style="2" customWidth="1"/>
    <col min="5126" max="5126" width="3.28515625" style="2" customWidth="1"/>
    <col min="5127" max="5127" width="9.28515625" style="2" customWidth="1"/>
    <col min="5128" max="5128" width="3.42578125" style="2" customWidth="1"/>
    <col min="5129" max="5129" width="13" style="2" customWidth="1"/>
    <col min="5130" max="5374" width="9.140625" style="2"/>
    <col min="5375" max="5375" width="3.7109375" style="2" customWidth="1"/>
    <col min="5376" max="5376" width="31.140625" style="2" customWidth="1"/>
    <col min="5377" max="5377" width="9.140625" style="2"/>
    <col min="5378" max="5378" width="4.5703125" style="2" customWidth="1"/>
    <col min="5379" max="5379" width="2.7109375" style="2" customWidth="1"/>
    <col min="5380" max="5380" width="4.85546875" style="2" customWidth="1"/>
    <col min="5381" max="5381" width="4.140625" style="2" customWidth="1"/>
    <col min="5382" max="5382" width="3.28515625" style="2" customWidth="1"/>
    <col min="5383" max="5383" width="9.28515625" style="2" customWidth="1"/>
    <col min="5384" max="5384" width="3.42578125" style="2" customWidth="1"/>
    <col min="5385" max="5385" width="13" style="2" customWidth="1"/>
    <col min="5386" max="5630" width="9.140625" style="2"/>
    <col min="5631" max="5631" width="3.7109375" style="2" customWidth="1"/>
    <col min="5632" max="5632" width="31.140625" style="2" customWidth="1"/>
    <col min="5633" max="5633" width="9.140625" style="2"/>
    <col min="5634" max="5634" width="4.5703125" style="2" customWidth="1"/>
    <col min="5635" max="5635" width="2.7109375" style="2" customWidth="1"/>
    <col min="5636" max="5636" width="4.85546875" style="2" customWidth="1"/>
    <col min="5637" max="5637" width="4.140625" style="2" customWidth="1"/>
    <col min="5638" max="5638" width="3.28515625" style="2" customWidth="1"/>
    <col min="5639" max="5639" width="9.28515625" style="2" customWidth="1"/>
    <col min="5640" max="5640" width="3.42578125" style="2" customWidth="1"/>
    <col min="5641" max="5641" width="13" style="2" customWidth="1"/>
    <col min="5642" max="5886" width="9.140625" style="2"/>
    <col min="5887" max="5887" width="3.7109375" style="2" customWidth="1"/>
    <col min="5888" max="5888" width="31.140625" style="2" customWidth="1"/>
    <col min="5889" max="5889" width="9.140625" style="2"/>
    <col min="5890" max="5890" width="4.5703125" style="2" customWidth="1"/>
    <col min="5891" max="5891" width="2.7109375" style="2" customWidth="1"/>
    <col min="5892" max="5892" width="4.85546875" style="2" customWidth="1"/>
    <col min="5893" max="5893" width="4.140625" style="2" customWidth="1"/>
    <col min="5894" max="5894" width="3.28515625" style="2" customWidth="1"/>
    <col min="5895" max="5895" width="9.28515625" style="2" customWidth="1"/>
    <col min="5896" max="5896" width="3.42578125" style="2" customWidth="1"/>
    <col min="5897" max="5897" width="13" style="2" customWidth="1"/>
    <col min="5898" max="6142" width="9.140625" style="2"/>
    <col min="6143" max="6143" width="3.7109375" style="2" customWidth="1"/>
    <col min="6144" max="6144" width="31.140625" style="2" customWidth="1"/>
    <col min="6145" max="6145" width="9.140625" style="2"/>
    <col min="6146" max="6146" width="4.5703125" style="2" customWidth="1"/>
    <col min="6147" max="6147" width="2.7109375" style="2" customWidth="1"/>
    <col min="6148" max="6148" width="4.85546875" style="2" customWidth="1"/>
    <col min="6149" max="6149" width="4.140625" style="2" customWidth="1"/>
    <col min="6150" max="6150" width="3.28515625" style="2" customWidth="1"/>
    <col min="6151" max="6151" width="9.28515625" style="2" customWidth="1"/>
    <col min="6152" max="6152" width="3.42578125" style="2" customWidth="1"/>
    <col min="6153" max="6153" width="13" style="2" customWidth="1"/>
    <col min="6154" max="6398" width="9.140625" style="2"/>
    <col min="6399" max="6399" width="3.7109375" style="2" customWidth="1"/>
    <col min="6400" max="6400" width="31.140625" style="2" customWidth="1"/>
    <col min="6401" max="6401" width="9.140625" style="2"/>
    <col min="6402" max="6402" width="4.5703125" style="2" customWidth="1"/>
    <col min="6403" max="6403" width="2.7109375" style="2" customWidth="1"/>
    <col min="6404" max="6404" width="4.85546875" style="2" customWidth="1"/>
    <col min="6405" max="6405" width="4.140625" style="2" customWidth="1"/>
    <col min="6406" max="6406" width="3.28515625" style="2" customWidth="1"/>
    <col min="6407" max="6407" width="9.28515625" style="2" customWidth="1"/>
    <col min="6408" max="6408" width="3.42578125" style="2" customWidth="1"/>
    <col min="6409" max="6409" width="13" style="2" customWidth="1"/>
    <col min="6410" max="6654" width="9.140625" style="2"/>
    <col min="6655" max="6655" width="3.7109375" style="2" customWidth="1"/>
    <col min="6656" max="6656" width="31.140625" style="2" customWidth="1"/>
    <col min="6657" max="6657" width="9.140625" style="2"/>
    <col min="6658" max="6658" width="4.5703125" style="2" customWidth="1"/>
    <col min="6659" max="6659" width="2.7109375" style="2" customWidth="1"/>
    <col min="6660" max="6660" width="4.85546875" style="2" customWidth="1"/>
    <col min="6661" max="6661" width="4.140625" style="2" customWidth="1"/>
    <col min="6662" max="6662" width="3.28515625" style="2" customWidth="1"/>
    <col min="6663" max="6663" width="9.28515625" style="2" customWidth="1"/>
    <col min="6664" max="6664" width="3.42578125" style="2" customWidth="1"/>
    <col min="6665" max="6665" width="13" style="2" customWidth="1"/>
    <col min="6666" max="6910" width="9.140625" style="2"/>
    <col min="6911" max="6911" width="3.7109375" style="2" customWidth="1"/>
    <col min="6912" max="6912" width="31.140625" style="2" customWidth="1"/>
    <col min="6913" max="6913" width="9.140625" style="2"/>
    <col min="6914" max="6914" width="4.5703125" style="2" customWidth="1"/>
    <col min="6915" max="6915" width="2.7109375" style="2" customWidth="1"/>
    <col min="6916" max="6916" width="4.85546875" style="2" customWidth="1"/>
    <col min="6917" max="6917" width="4.140625" style="2" customWidth="1"/>
    <col min="6918" max="6918" width="3.28515625" style="2" customWidth="1"/>
    <col min="6919" max="6919" width="9.28515625" style="2" customWidth="1"/>
    <col min="6920" max="6920" width="3.42578125" style="2" customWidth="1"/>
    <col min="6921" max="6921" width="13" style="2" customWidth="1"/>
    <col min="6922" max="7166" width="9.140625" style="2"/>
    <col min="7167" max="7167" width="3.7109375" style="2" customWidth="1"/>
    <col min="7168" max="7168" width="31.140625" style="2" customWidth="1"/>
    <col min="7169" max="7169" width="9.140625" style="2"/>
    <col min="7170" max="7170" width="4.5703125" style="2" customWidth="1"/>
    <col min="7171" max="7171" width="2.7109375" style="2" customWidth="1"/>
    <col min="7172" max="7172" width="4.85546875" style="2" customWidth="1"/>
    <col min="7173" max="7173" width="4.140625" style="2" customWidth="1"/>
    <col min="7174" max="7174" width="3.28515625" style="2" customWidth="1"/>
    <col min="7175" max="7175" width="9.28515625" style="2" customWidth="1"/>
    <col min="7176" max="7176" width="3.42578125" style="2" customWidth="1"/>
    <col min="7177" max="7177" width="13" style="2" customWidth="1"/>
    <col min="7178" max="7422" width="9.140625" style="2"/>
    <col min="7423" max="7423" width="3.7109375" style="2" customWidth="1"/>
    <col min="7424" max="7424" width="31.140625" style="2" customWidth="1"/>
    <col min="7425" max="7425" width="9.140625" style="2"/>
    <col min="7426" max="7426" width="4.5703125" style="2" customWidth="1"/>
    <col min="7427" max="7427" width="2.7109375" style="2" customWidth="1"/>
    <col min="7428" max="7428" width="4.85546875" style="2" customWidth="1"/>
    <col min="7429" max="7429" width="4.140625" style="2" customWidth="1"/>
    <col min="7430" max="7430" width="3.28515625" style="2" customWidth="1"/>
    <col min="7431" max="7431" width="9.28515625" style="2" customWidth="1"/>
    <col min="7432" max="7432" width="3.42578125" style="2" customWidth="1"/>
    <col min="7433" max="7433" width="13" style="2" customWidth="1"/>
    <col min="7434" max="7678" width="9.140625" style="2"/>
    <col min="7679" max="7679" width="3.7109375" style="2" customWidth="1"/>
    <col min="7680" max="7680" width="31.140625" style="2" customWidth="1"/>
    <col min="7681" max="7681" width="9.140625" style="2"/>
    <col min="7682" max="7682" width="4.5703125" style="2" customWidth="1"/>
    <col min="7683" max="7683" width="2.7109375" style="2" customWidth="1"/>
    <col min="7684" max="7684" width="4.85546875" style="2" customWidth="1"/>
    <col min="7685" max="7685" width="4.140625" style="2" customWidth="1"/>
    <col min="7686" max="7686" width="3.28515625" style="2" customWidth="1"/>
    <col min="7687" max="7687" width="9.28515625" style="2" customWidth="1"/>
    <col min="7688" max="7688" width="3.42578125" style="2" customWidth="1"/>
    <col min="7689" max="7689" width="13" style="2" customWidth="1"/>
    <col min="7690" max="7934" width="9.140625" style="2"/>
    <col min="7935" max="7935" width="3.7109375" style="2" customWidth="1"/>
    <col min="7936" max="7936" width="31.140625" style="2" customWidth="1"/>
    <col min="7937" max="7937" width="9.140625" style="2"/>
    <col min="7938" max="7938" width="4.5703125" style="2" customWidth="1"/>
    <col min="7939" max="7939" width="2.7109375" style="2" customWidth="1"/>
    <col min="7940" max="7940" width="4.85546875" style="2" customWidth="1"/>
    <col min="7941" max="7941" width="4.140625" style="2" customWidth="1"/>
    <col min="7942" max="7942" width="3.28515625" style="2" customWidth="1"/>
    <col min="7943" max="7943" width="9.28515625" style="2" customWidth="1"/>
    <col min="7944" max="7944" width="3.42578125" style="2" customWidth="1"/>
    <col min="7945" max="7945" width="13" style="2" customWidth="1"/>
    <col min="7946" max="8190" width="9.140625" style="2"/>
    <col min="8191" max="8191" width="3.7109375" style="2" customWidth="1"/>
    <col min="8192" max="8192" width="31.140625" style="2" customWidth="1"/>
    <col min="8193" max="8193" width="9.140625" style="2"/>
    <col min="8194" max="8194" width="4.5703125" style="2" customWidth="1"/>
    <col min="8195" max="8195" width="2.7109375" style="2" customWidth="1"/>
    <col min="8196" max="8196" width="4.85546875" style="2" customWidth="1"/>
    <col min="8197" max="8197" width="4.140625" style="2" customWidth="1"/>
    <col min="8198" max="8198" width="3.28515625" style="2" customWidth="1"/>
    <col min="8199" max="8199" width="9.28515625" style="2" customWidth="1"/>
    <col min="8200" max="8200" width="3.42578125" style="2" customWidth="1"/>
    <col min="8201" max="8201" width="13" style="2" customWidth="1"/>
    <col min="8202" max="8446" width="9.140625" style="2"/>
    <col min="8447" max="8447" width="3.7109375" style="2" customWidth="1"/>
    <col min="8448" max="8448" width="31.140625" style="2" customWidth="1"/>
    <col min="8449" max="8449" width="9.140625" style="2"/>
    <col min="8450" max="8450" width="4.5703125" style="2" customWidth="1"/>
    <col min="8451" max="8451" width="2.7109375" style="2" customWidth="1"/>
    <col min="8452" max="8452" width="4.85546875" style="2" customWidth="1"/>
    <col min="8453" max="8453" width="4.140625" style="2" customWidth="1"/>
    <col min="8454" max="8454" width="3.28515625" style="2" customWidth="1"/>
    <col min="8455" max="8455" width="9.28515625" style="2" customWidth="1"/>
    <col min="8456" max="8456" width="3.42578125" style="2" customWidth="1"/>
    <col min="8457" max="8457" width="13" style="2" customWidth="1"/>
    <col min="8458" max="8702" width="9.140625" style="2"/>
    <col min="8703" max="8703" width="3.7109375" style="2" customWidth="1"/>
    <col min="8704" max="8704" width="31.140625" style="2" customWidth="1"/>
    <col min="8705" max="8705" width="9.140625" style="2"/>
    <col min="8706" max="8706" width="4.5703125" style="2" customWidth="1"/>
    <col min="8707" max="8707" width="2.7109375" style="2" customWidth="1"/>
    <col min="8708" max="8708" width="4.85546875" style="2" customWidth="1"/>
    <col min="8709" max="8709" width="4.140625" style="2" customWidth="1"/>
    <col min="8710" max="8710" width="3.28515625" style="2" customWidth="1"/>
    <col min="8711" max="8711" width="9.28515625" style="2" customWidth="1"/>
    <col min="8712" max="8712" width="3.42578125" style="2" customWidth="1"/>
    <col min="8713" max="8713" width="13" style="2" customWidth="1"/>
    <col min="8714" max="8958" width="9.140625" style="2"/>
    <col min="8959" max="8959" width="3.7109375" style="2" customWidth="1"/>
    <col min="8960" max="8960" width="31.140625" style="2" customWidth="1"/>
    <col min="8961" max="8961" width="9.140625" style="2"/>
    <col min="8962" max="8962" width="4.5703125" style="2" customWidth="1"/>
    <col min="8963" max="8963" width="2.7109375" style="2" customWidth="1"/>
    <col min="8964" max="8964" width="4.85546875" style="2" customWidth="1"/>
    <col min="8965" max="8965" width="4.140625" style="2" customWidth="1"/>
    <col min="8966" max="8966" width="3.28515625" style="2" customWidth="1"/>
    <col min="8967" max="8967" width="9.28515625" style="2" customWidth="1"/>
    <col min="8968" max="8968" width="3.42578125" style="2" customWidth="1"/>
    <col min="8969" max="8969" width="13" style="2" customWidth="1"/>
    <col min="8970" max="9214" width="9.140625" style="2"/>
    <col min="9215" max="9215" width="3.7109375" style="2" customWidth="1"/>
    <col min="9216" max="9216" width="31.140625" style="2" customWidth="1"/>
    <col min="9217" max="9217" width="9.140625" style="2"/>
    <col min="9218" max="9218" width="4.5703125" style="2" customWidth="1"/>
    <col min="9219" max="9219" width="2.7109375" style="2" customWidth="1"/>
    <col min="9220" max="9220" width="4.85546875" style="2" customWidth="1"/>
    <col min="9221" max="9221" width="4.140625" style="2" customWidth="1"/>
    <col min="9222" max="9222" width="3.28515625" style="2" customWidth="1"/>
    <col min="9223" max="9223" width="9.28515625" style="2" customWidth="1"/>
    <col min="9224" max="9224" width="3.42578125" style="2" customWidth="1"/>
    <col min="9225" max="9225" width="13" style="2" customWidth="1"/>
    <col min="9226" max="9470" width="9.140625" style="2"/>
    <col min="9471" max="9471" width="3.7109375" style="2" customWidth="1"/>
    <col min="9472" max="9472" width="31.140625" style="2" customWidth="1"/>
    <col min="9473" max="9473" width="9.140625" style="2"/>
    <col min="9474" max="9474" width="4.5703125" style="2" customWidth="1"/>
    <col min="9475" max="9475" width="2.7109375" style="2" customWidth="1"/>
    <col min="9476" max="9476" width="4.85546875" style="2" customWidth="1"/>
    <col min="9477" max="9477" width="4.140625" style="2" customWidth="1"/>
    <col min="9478" max="9478" width="3.28515625" style="2" customWidth="1"/>
    <col min="9479" max="9479" width="9.28515625" style="2" customWidth="1"/>
    <col min="9480" max="9480" width="3.42578125" style="2" customWidth="1"/>
    <col min="9481" max="9481" width="13" style="2" customWidth="1"/>
    <col min="9482" max="9726" width="9.140625" style="2"/>
    <col min="9727" max="9727" width="3.7109375" style="2" customWidth="1"/>
    <col min="9728" max="9728" width="31.140625" style="2" customWidth="1"/>
    <col min="9729" max="9729" width="9.140625" style="2"/>
    <col min="9730" max="9730" width="4.5703125" style="2" customWidth="1"/>
    <col min="9731" max="9731" width="2.7109375" style="2" customWidth="1"/>
    <col min="9732" max="9732" width="4.85546875" style="2" customWidth="1"/>
    <col min="9733" max="9733" width="4.140625" style="2" customWidth="1"/>
    <col min="9734" max="9734" width="3.28515625" style="2" customWidth="1"/>
    <col min="9735" max="9735" width="9.28515625" style="2" customWidth="1"/>
    <col min="9736" max="9736" width="3.42578125" style="2" customWidth="1"/>
    <col min="9737" max="9737" width="13" style="2" customWidth="1"/>
    <col min="9738" max="9982" width="9.140625" style="2"/>
    <col min="9983" max="9983" width="3.7109375" style="2" customWidth="1"/>
    <col min="9984" max="9984" width="31.140625" style="2" customWidth="1"/>
    <col min="9985" max="9985" width="9.140625" style="2"/>
    <col min="9986" max="9986" width="4.5703125" style="2" customWidth="1"/>
    <col min="9987" max="9987" width="2.7109375" style="2" customWidth="1"/>
    <col min="9988" max="9988" width="4.85546875" style="2" customWidth="1"/>
    <col min="9989" max="9989" width="4.140625" style="2" customWidth="1"/>
    <col min="9990" max="9990" width="3.28515625" style="2" customWidth="1"/>
    <col min="9991" max="9991" width="9.28515625" style="2" customWidth="1"/>
    <col min="9992" max="9992" width="3.42578125" style="2" customWidth="1"/>
    <col min="9993" max="9993" width="13" style="2" customWidth="1"/>
    <col min="9994" max="10238" width="9.140625" style="2"/>
    <col min="10239" max="10239" width="3.7109375" style="2" customWidth="1"/>
    <col min="10240" max="10240" width="31.140625" style="2" customWidth="1"/>
    <col min="10241" max="10241" width="9.140625" style="2"/>
    <col min="10242" max="10242" width="4.5703125" style="2" customWidth="1"/>
    <col min="10243" max="10243" width="2.7109375" style="2" customWidth="1"/>
    <col min="10244" max="10244" width="4.85546875" style="2" customWidth="1"/>
    <col min="10245" max="10245" width="4.140625" style="2" customWidth="1"/>
    <col min="10246" max="10246" width="3.28515625" style="2" customWidth="1"/>
    <col min="10247" max="10247" width="9.28515625" style="2" customWidth="1"/>
    <col min="10248" max="10248" width="3.42578125" style="2" customWidth="1"/>
    <col min="10249" max="10249" width="13" style="2" customWidth="1"/>
    <col min="10250" max="10494" width="9.140625" style="2"/>
    <col min="10495" max="10495" width="3.7109375" style="2" customWidth="1"/>
    <col min="10496" max="10496" width="31.140625" style="2" customWidth="1"/>
    <col min="10497" max="10497" width="9.140625" style="2"/>
    <col min="10498" max="10498" width="4.5703125" style="2" customWidth="1"/>
    <col min="10499" max="10499" width="2.7109375" style="2" customWidth="1"/>
    <col min="10500" max="10500" width="4.85546875" style="2" customWidth="1"/>
    <col min="10501" max="10501" width="4.140625" style="2" customWidth="1"/>
    <col min="10502" max="10502" width="3.28515625" style="2" customWidth="1"/>
    <col min="10503" max="10503" width="9.28515625" style="2" customWidth="1"/>
    <col min="10504" max="10504" width="3.42578125" style="2" customWidth="1"/>
    <col min="10505" max="10505" width="13" style="2" customWidth="1"/>
    <col min="10506" max="10750" width="9.140625" style="2"/>
    <col min="10751" max="10751" width="3.7109375" style="2" customWidth="1"/>
    <col min="10752" max="10752" width="31.140625" style="2" customWidth="1"/>
    <col min="10753" max="10753" width="9.140625" style="2"/>
    <col min="10754" max="10754" width="4.5703125" style="2" customWidth="1"/>
    <col min="10755" max="10755" width="2.7109375" style="2" customWidth="1"/>
    <col min="10756" max="10756" width="4.85546875" style="2" customWidth="1"/>
    <col min="10757" max="10757" width="4.140625" style="2" customWidth="1"/>
    <col min="10758" max="10758" width="3.28515625" style="2" customWidth="1"/>
    <col min="10759" max="10759" width="9.28515625" style="2" customWidth="1"/>
    <col min="10760" max="10760" width="3.42578125" style="2" customWidth="1"/>
    <col min="10761" max="10761" width="13" style="2" customWidth="1"/>
    <col min="10762" max="11006" width="9.140625" style="2"/>
    <col min="11007" max="11007" width="3.7109375" style="2" customWidth="1"/>
    <col min="11008" max="11008" width="31.140625" style="2" customWidth="1"/>
    <col min="11009" max="11009" width="9.140625" style="2"/>
    <col min="11010" max="11010" width="4.5703125" style="2" customWidth="1"/>
    <col min="11011" max="11011" width="2.7109375" style="2" customWidth="1"/>
    <col min="11012" max="11012" width="4.85546875" style="2" customWidth="1"/>
    <col min="11013" max="11013" width="4.140625" style="2" customWidth="1"/>
    <col min="11014" max="11014" width="3.28515625" style="2" customWidth="1"/>
    <col min="11015" max="11015" width="9.28515625" style="2" customWidth="1"/>
    <col min="11016" max="11016" width="3.42578125" style="2" customWidth="1"/>
    <col min="11017" max="11017" width="13" style="2" customWidth="1"/>
    <col min="11018" max="11262" width="9.140625" style="2"/>
    <col min="11263" max="11263" width="3.7109375" style="2" customWidth="1"/>
    <col min="11264" max="11264" width="31.140625" style="2" customWidth="1"/>
    <col min="11265" max="11265" width="9.140625" style="2"/>
    <col min="11266" max="11266" width="4.5703125" style="2" customWidth="1"/>
    <col min="11267" max="11267" width="2.7109375" style="2" customWidth="1"/>
    <col min="11268" max="11268" width="4.85546875" style="2" customWidth="1"/>
    <col min="11269" max="11269" width="4.140625" style="2" customWidth="1"/>
    <col min="11270" max="11270" width="3.28515625" style="2" customWidth="1"/>
    <col min="11271" max="11271" width="9.28515625" style="2" customWidth="1"/>
    <col min="11272" max="11272" width="3.42578125" style="2" customWidth="1"/>
    <col min="11273" max="11273" width="13" style="2" customWidth="1"/>
    <col min="11274" max="11518" width="9.140625" style="2"/>
    <col min="11519" max="11519" width="3.7109375" style="2" customWidth="1"/>
    <col min="11520" max="11520" width="31.140625" style="2" customWidth="1"/>
    <col min="11521" max="11521" width="9.140625" style="2"/>
    <col min="11522" max="11522" width="4.5703125" style="2" customWidth="1"/>
    <col min="11523" max="11523" width="2.7109375" style="2" customWidth="1"/>
    <col min="11524" max="11524" width="4.85546875" style="2" customWidth="1"/>
    <col min="11525" max="11525" width="4.140625" style="2" customWidth="1"/>
    <col min="11526" max="11526" width="3.28515625" style="2" customWidth="1"/>
    <col min="11527" max="11527" width="9.28515625" style="2" customWidth="1"/>
    <col min="11528" max="11528" width="3.42578125" style="2" customWidth="1"/>
    <col min="11529" max="11529" width="13" style="2" customWidth="1"/>
    <col min="11530" max="11774" width="9.140625" style="2"/>
    <col min="11775" max="11775" width="3.7109375" style="2" customWidth="1"/>
    <col min="11776" max="11776" width="31.140625" style="2" customWidth="1"/>
    <col min="11777" max="11777" width="9.140625" style="2"/>
    <col min="11778" max="11778" width="4.5703125" style="2" customWidth="1"/>
    <col min="11779" max="11779" width="2.7109375" style="2" customWidth="1"/>
    <col min="11780" max="11780" width="4.85546875" style="2" customWidth="1"/>
    <col min="11781" max="11781" width="4.140625" style="2" customWidth="1"/>
    <col min="11782" max="11782" width="3.28515625" style="2" customWidth="1"/>
    <col min="11783" max="11783" width="9.28515625" style="2" customWidth="1"/>
    <col min="11784" max="11784" width="3.42578125" style="2" customWidth="1"/>
    <col min="11785" max="11785" width="13" style="2" customWidth="1"/>
    <col min="11786" max="12030" width="9.140625" style="2"/>
    <col min="12031" max="12031" width="3.7109375" style="2" customWidth="1"/>
    <col min="12032" max="12032" width="31.140625" style="2" customWidth="1"/>
    <col min="12033" max="12033" width="9.140625" style="2"/>
    <col min="12034" max="12034" width="4.5703125" style="2" customWidth="1"/>
    <col min="12035" max="12035" width="2.7109375" style="2" customWidth="1"/>
    <col min="12036" max="12036" width="4.85546875" style="2" customWidth="1"/>
    <col min="12037" max="12037" width="4.140625" style="2" customWidth="1"/>
    <col min="12038" max="12038" width="3.28515625" style="2" customWidth="1"/>
    <col min="12039" max="12039" width="9.28515625" style="2" customWidth="1"/>
    <col min="12040" max="12040" width="3.42578125" style="2" customWidth="1"/>
    <col min="12041" max="12041" width="13" style="2" customWidth="1"/>
    <col min="12042" max="12286" width="9.140625" style="2"/>
    <col min="12287" max="12287" width="3.7109375" style="2" customWidth="1"/>
    <col min="12288" max="12288" width="31.140625" style="2" customWidth="1"/>
    <col min="12289" max="12289" width="9.140625" style="2"/>
    <col min="12290" max="12290" width="4.5703125" style="2" customWidth="1"/>
    <col min="12291" max="12291" width="2.7109375" style="2" customWidth="1"/>
    <col min="12292" max="12292" width="4.85546875" style="2" customWidth="1"/>
    <col min="12293" max="12293" width="4.140625" style="2" customWidth="1"/>
    <col min="12294" max="12294" width="3.28515625" style="2" customWidth="1"/>
    <col min="12295" max="12295" width="9.28515625" style="2" customWidth="1"/>
    <col min="12296" max="12296" width="3.42578125" style="2" customWidth="1"/>
    <col min="12297" max="12297" width="13" style="2" customWidth="1"/>
    <col min="12298" max="12542" width="9.140625" style="2"/>
    <col min="12543" max="12543" width="3.7109375" style="2" customWidth="1"/>
    <col min="12544" max="12544" width="31.140625" style="2" customWidth="1"/>
    <col min="12545" max="12545" width="9.140625" style="2"/>
    <col min="12546" max="12546" width="4.5703125" style="2" customWidth="1"/>
    <col min="12547" max="12547" width="2.7109375" style="2" customWidth="1"/>
    <col min="12548" max="12548" width="4.85546875" style="2" customWidth="1"/>
    <col min="12549" max="12549" width="4.140625" style="2" customWidth="1"/>
    <col min="12550" max="12550" width="3.28515625" style="2" customWidth="1"/>
    <col min="12551" max="12551" width="9.28515625" style="2" customWidth="1"/>
    <col min="12552" max="12552" width="3.42578125" style="2" customWidth="1"/>
    <col min="12553" max="12553" width="13" style="2" customWidth="1"/>
    <col min="12554" max="12798" width="9.140625" style="2"/>
    <col min="12799" max="12799" width="3.7109375" style="2" customWidth="1"/>
    <col min="12800" max="12800" width="31.140625" style="2" customWidth="1"/>
    <col min="12801" max="12801" width="9.140625" style="2"/>
    <col min="12802" max="12802" width="4.5703125" style="2" customWidth="1"/>
    <col min="12803" max="12803" width="2.7109375" style="2" customWidth="1"/>
    <col min="12804" max="12804" width="4.85546875" style="2" customWidth="1"/>
    <col min="12805" max="12805" width="4.140625" style="2" customWidth="1"/>
    <col min="12806" max="12806" width="3.28515625" style="2" customWidth="1"/>
    <col min="12807" max="12807" width="9.28515625" style="2" customWidth="1"/>
    <col min="12808" max="12808" width="3.42578125" style="2" customWidth="1"/>
    <col min="12809" max="12809" width="13" style="2" customWidth="1"/>
    <col min="12810" max="13054" width="9.140625" style="2"/>
    <col min="13055" max="13055" width="3.7109375" style="2" customWidth="1"/>
    <col min="13056" max="13056" width="31.140625" style="2" customWidth="1"/>
    <col min="13057" max="13057" width="9.140625" style="2"/>
    <col min="13058" max="13058" width="4.5703125" style="2" customWidth="1"/>
    <col min="13059" max="13059" width="2.7109375" style="2" customWidth="1"/>
    <col min="13060" max="13060" width="4.85546875" style="2" customWidth="1"/>
    <col min="13061" max="13061" width="4.140625" style="2" customWidth="1"/>
    <col min="13062" max="13062" width="3.28515625" style="2" customWidth="1"/>
    <col min="13063" max="13063" width="9.28515625" style="2" customWidth="1"/>
    <col min="13064" max="13064" width="3.42578125" style="2" customWidth="1"/>
    <col min="13065" max="13065" width="13" style="2" customWidth="1"/>
    <col min="13066" max="13310" width="9.140625" style="2"/>
    <col min="13311" max="13311" width="3.7109375" style="2" customWidth="1"/>
    <col min="13312" max="13312" width="31.140625" style="2" customWidth="1"/>
    <col min="13313" max="13313" width="9.140625" style="2"/>
    <col min="13314" max="13314" width="4.5703125" style="2" customWidth="1"/>
    <col min="13315" max="13315" width="2.7109375" style="2" customWidth="1"/>
    <col min="13316" max="13316" width="4.85546875" style="2" customWidth="1"/>
    <col min="13317" max="13317" width="4.140625" style="2" customWidth="1"/>
    <col min="13318" max="13318" width="3.28515625" style="2" customWidth="1"/>
    <col min="13319" max="13319" width="9.28515625" style="2" customWidth="1"/>
    <col min="13320" max="13320" width="3.42578125" style="2" customWidth="1"/>
    <col min="13321" max="13321" width="13" style="2" customWidth="1"/>
    <col min="13322" max="13566" width="9.140625" style="2"/>
    <col min="13567" max="13567" width="3.7109375" style="2" customWidth="1"/>
    <col min="13568" max="13568" width="31.140625" style="2" customWidth="1"/>
    <col min="13569" max="13569" width="9.140625" style="2"/>
    <col min="13570" max="13570" width="4.5703125" style="2" customWidth="1"/>
    <col min="13571" max="13571" width="2.7109375" style="2" customWidth="1"/>
    <col min="13572" max="13572" width="4.85546875" style="2" customWidth="1"/>
    <col min="13573" max="13573" width="4.140625" style="2" customWidth="1"/>
    <col min="13574" max="13574" width="3.28515625" style="2" customWidth="1"/>
    <col min="13575" max="13575" width="9.28515625" style="2" customWidth="1"/>
    <col min="13576" max="13576" width="3.42578125" style="2" customWidth="1"/>
    <col min="13577" max="13577" width="13" style="2" customWidth="1"/>
    <col min="13578" max="13822" width="9.140625" style="2"/>
    <col min="13823" max="13823" width="3.7109375" style="2" customWidth="1"/>
    <col min="13824" max="13824" width="31.140625" style="2" customWidth="1"/>
    <col min="13825" max="13825" width="9.140625" style="2"/>
    <col min="13826" max="13826" width="4.5703125" style="2" customWidth="1"/>
    <col min="13827" max="13827" width="2.7109375" style="2" customWidth="1"/>
    <col min="13828" max="13828" width="4.85546875" style="2" customWidth="1"/>
    <col min="13829" max="13829" width="4.140625" style="2" customWidth="1"/>
    <col min="13830" max="13830" width="3.28515625" style="2" customWidth="1"/>
    <col min="13831" max="13831" width="9.28515625" style="2" customWidth="1"/>
    <col min="13832" max="13832" width="3.42578125" style="2" customWidth="1"/>
    <col min="13833" max="13833" width="13" style="2" customWidth="1"/>
    <col min="13834" max="14078" width="9.140625" style="2"/>
    <col min="14079" max="14079" width="3.7109375" style="2" customWidth="1"/>
    <col min="14080" max="14080" width="31.140625" style="2" customWidth="1"/>
    <col min="14081" max="14081" width="9.140625" style="2"/>
    <col min="14082" max="14082" width="4.5703125" style="2" customWidth="1"/>
    <col min="14083" max="14083" width="2.7109375" style="2" customWidth="1"/>
    <col min="14084" max="14084" width="4.85546875" style="2" customWidth="1"/>
    <col min="14085" max="14085" width="4.140625" style="2" customWidth="1"/>
    <col min="14086" max="14086" width="3.28515625" style="2" customWidth="1"/>
    <col min="14087" max="14087" width="9.28515625" style="2" customWidth="1"/>
    <col min="14088" max="14088" width="3.42578125" style="2" customWidth="1"/>
    <col min="14089" max="14089" width="13" style="2" customWidth="1"/>
    <col min="14090" max="14334" width="9.140625" style="2"/>
    <col min="14335" max="14335" width="3.7109375" style="2" customWidth="1"/>
    <col min="14336" max="14336" width="31.140625" style="2" customWidth="1"/>
    <col min="14337" max="14337" width="9.140625" style="2"/>
    <col min="14338" max="14338" width="4.5703125" style="2" customWidth="1"/>
    <col min="14339" max="14339" width="2.7109375" style="2" customWidth="1"/>
    <col min="14340" max="14340" width="4.85546875" style="2" customWidth="1"/>
    <col min="14341" max="14341" width="4.140625" style="2" customWidth="1"/>
    <col min="14342" max="14342" width="3.28515625" style="2" customWidth="1"/>
    <col min="14343" max="14343" width="9.28515625" style="2" customWidth="1"/>
    <col min="14344" max="14344" width="3.42578125" style="2" customWidth="1"/>
    <col min="14345" max="14345" width="13" style="2" customWidth="1"/>
    <col min="14346" max="14590" width="9.140625" style="2"/>
    <col min="14591" max="14591" width="3.7109375" style="2" customWidth="1"/>
    <col min="14592" max="14592" width="31.140625" style="2" customWidth="1"/>
    <col min="14593" max="14593" width="9.140625" style="2"/>
    <col min="14594" max="14594" width="4.5703125" style="2" customWidth="1"/>
    <col min="14595" max="14595" width="2.7109375" style="2" customWidth="1"/>
    <col min="14596" max="14596" width="4.85546875" style="2" customWidth="1"/>
    <col min="14597" max="14597" width="4.140625" style="2" customWidth="1"/>
    <col min="14598" max="14598" width="3.28515625" style="2" customWidth="1"/>
    <col min="14599" max="14599" width="9.28515625" style="2" customWidth="1"/>
    <col min="14600" max="14600" width="3.42578125" style="2" customWidth="1"/>
    <col min="14601" max="14601" width="13" style="2" customWidth="1"/>
    <col min="14602" max="14846" width="9.140625" style="2"/>
    <col min="14847" max="14847" width="3.7109375" style="2" customWidth="1"/>
    <col min="14848" max="14848" width="31.140625" style="2" customWidth="1"/>
    <col min="14849" max="14849" width="9.140625" style="2"/>
    <col min="14850" max="14850" width="4.5703125" style="2" customWidth="1"/>
    <col min="14851" max="14851" width="2.7109375" style="2" customWidth="1"/>
    <col min="14852" max="14852" width="4.85546875" style="2" customWidth="1"/>
    <col min="14853" max="14853" width="4.140625" style="2" customWidth="1"/>
    <col min="14854" max="14854" width="3.28515625" style="2" customWidth="1"/>
    <col min="14855" max="14855" width="9.28515625" style="2" customWidth="1"/>
    <col min="14856" max="14856" width="3.42578125" style="2" customWidth="1"/>
    <col min="14857" max="14857" width="13" style="2" customWidth="1"/>
    <col min="14858" max="15102" width="9.140625" style="2"/>
    <col min="15103" max="15103" width="3.7109375" style="2" customWidth="1"/>
    <col min="15104" max="15104" width="31.140625" style="2" customWidth="1"/>
    <col min="15105" max="15105" width="9.140625" style="2"/>
    <col min="15106" max="15106" width="4.5703125" style="2" customWidth="1"/>
    <col min="15107" max="15107" width="2.7109375" style="2" customWidth="1"/>
    <col min="15108" max="15108" width="4.85546875" style="2" customWidth="1"/>
    <col min="15109" max="15109" width="4.140625" style="2" customWidth="1"/>
    <col min="15110" max="15110" width="3.28515625" style="2" customWidth="1"/>
    <col min="15111" max="15111" width="9.28515625" style="2" customWidth="1"/>
    <col min="15112" max="15112" width="3.42578125" style="2" customWidth="1"/>
    <col min="15113" max="15113" width="13" style="2" customWidth="1"/>
    <col min="15114" max="15358" width="9.140625" style="2"/>
    <col min="15359" max="15359" width="3.7109375" style="2" customWidth="1"/>
    <col min="15360" max="15360" width="31.140625" style="2" customWidth="1"/>
    <col min="15361" max="15361" width="9.140625" style="2"/>
    <col min="15362" max="15362" width="4.5703125" style="2" customWidth="1"/>
    <col min="15363" max="15363" width="2.7109375" style="2" customWidth="1"/>
    <col min="15364" max="15364" width="4.85546875" style="2" customWidth="1"/>
    <col min="15365" max="15365" width="4.140625" style="2" customWidth="1"/>
    <col min="15366" max="15366" width="3.28515625" style="2" customWidth="1"/>
    <col min="15367" max="15367" width="9.28515625" style="2" customWidth="1"/>
    <col min="15368" max="15368" width="3.42578125" style="2" customWidth="1"/>
    <col min="15369" max="15369" width="13" style="2" customWidth="1"/>
    <col min="15370" max="15614" width="9.140625" style="2"/>
    <col min="15615" max="15615" width="3.7109375" style="2" customWidth="1"/>
    <col min="15616" max="15616" width="31.140625" style="2" customWidth="1"/>
    <col min="15617" max="15617" width="9.140625" style="2"/>
    <col min="15618" max="15618" width="4.5703125" style="2" customWidth="1"/>
    <col min="15619" max="15619" width="2.7109375" style="2" customWidth="1"/>
    <col min="15620" max="15620" width="4.85546875" style="2" customWidth="1"/>
    <col min="15621" max="15621" width="4.140625" style="2" customWidth="1"/>
    <col min="15622" max="15622" width="3.28515625" style="2" customWidth="1"/>
    <col min="15623" max="15623" width="9.28515625" style="2" customWidth="1"/>
    <col min="15624" max="15624" width="3.42578125" style="2" customWidth="1"/>
    <col min="15625" max="15625" width="13" style="2" customWidth="1"/>
    <col min="15626" max="15870" width="9.140625" style="2"/>
    <col min="15871" max="15871" width="3.7109375" style="2" customWidth="1"/>
    <col min="15872" max="15872" width="31.140625" style="2" customWidth="1"/>
    <col min="15873" max="15873" width="9.140625" style="2"/>
    <col min="15874" max="15874" width="4.5703125" style="2" customWidth="1"/>
    <col min="15875" max="15875" width="2.7109375" style="2" customWidth="1"/>
    <col min="15876" max="15876" width="4.85546875" style="2" customWidth="1"/>
    <col min="15877" max="15877" width="4.140625" style="2" customWidth="1"/>
    <col min="15878" max="15878" width="3.28515625" style="2" customWidth="1"/>
    <col min="15879" max="15879" width="9.28515625" style="2" customWidth="1"/>
    <col min="15880" max="15880" width="3.42578125" style="2" customWidth="1"/>
    <col min="15881" max="15881" width="13" style="2" customWidth="1"/>
    <col min="15882" max="16126" width="9.140625" style="2"/>
    <col min="16127" max="16127" width="3.7109375" style="2" customWidth="1"/>
    <col min="16128" max="16128" width="31.140625" style="2" customWidth="1"/>
    <col min="16129" max="16129" width="9.140625" style="2"/>
    <col min="16130" max="16130" width="4.5703125" style="2" customWidth="1"/>
    <col min="16131" max="16131" width="2.7109375" style="2" customWidth="1"/>
    <col min="16132" max="16132" width="4.85546875" style="2" customWidth="1"/>
    <col min="16133" max="16133" width="4.140625" style="2" customWidth="1"/>
    <col min="16134" max="16134" width="3.28515625" style="2" customWidth="1"/>
    <col min="16135" max="16135" width="9.28515625" style="2" customWidth="1"/>
    <col min="16136" max="16136" width="3.42578125" style="2" customWidth="1"/>
    <col min="16137" max="16137" width="13" style="2" customWidth="1"/>
    <col min="16138" max="16384" width="9.140625" style="2"/>
  </cols>
  <sheetData>
    <row r="1" spans="1:11" ht="115.5" customHeight="1" thickBo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4" spans="1:11" hidden="1">
      <c r="A4" s="172" t="s">
        <v>88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idden="1">
      <c r="A5" s="66"/>
      <c r="B5" s="66"/>
      <c r="C5" s="66"/>
      <c r="D5" s="66"/>
      <c r="E5" s="66"/>
      <c r="F5" s="66"/>
      <c r="G5" s="66"/>
      <c r="H5" s="66"/>
      <c r="I5" s="66"/>
      <c r="J5" s="66"/>
    </row>
    <row r="6" spans="1:11" s="65" customFormat="1" ht="30.75" hidden="1" customHeight="1">
      <c r="A6" s="67" t="s">
        <v>89</v>
      </c>
      <c r="B6" s="67" t="s">
        <v>90</v>
      </c>
      <c r="C6" s="173" t="s">
        <v>91</v>
      </c>
      <c r="D6" s="174"/>
      <c r="E6" s="67"/>
      <c r="F6" s="175" t="s">
        <v>92</v>
      </c>
      <c r="G6" s="175"/>
      <c r="H6" s="67"/>
      <c r="I6" s="25" t="s">
        <v>93</v>
      </c>
      <c r="J6" s="67"/>
      <c r="K6" s="25" t="s">
        <v>94</v>
      </c>
    </row>
    <row r="7" spans="1:11" hidden="1">
      <c r="A7" s="68" t="s">
        <v>95</v>
      </c>
      <c r="B7" s="68" t="s">
        <v>96</v>
      </c>
      <c r="C7" s="69">
        <v>1275</v>
      </c>
      <c r="D7" s="69" t="s">
        <v>97</v>
      </c>
      <c r="E7" s="70" t="s">
        <v>98</v>
      </c>
      <c r="F7" s="68">
        <v>365</v>
      </c>
      <c r="G7" s="68" t="s">
        <v>99</v>
      </c>
      <c r="H7" s="68" t="s">
        <v>100</v>
      </c>
      <c r="I7" s="69">
        <f>C7*F7</f>
        <v>465375</v>
      </c>
      <c r="J7" s="68" t="s">
        <v>100</v>
      </c>
      <c r="K7" s="71">
        <f>I7/12</f>
        <v>38781.25</v>
      </c>
    </row>
    <row r="8" spans="1:11" s="76" customFormat="1" hidden="1">
      <c r="A8" s="72" t="s">
        <v>101</v>
      </c>
      <c r="B8" s="72" t="s">
        <v>102</v>
      </c>
      <c r="C8" s="73">
        <f>C7*0.13</f>
        <v>165.75</v>
      </c>
      <c r="D8" s="73" t="s">
        <v>97</v>
      </c>
      <c r="E8" s="74" t="s">
        <v>98</v>
      </c>
      <c r="F8" s="72">
        <v>365</v>
      </c>
      <c r="G8" s="72" t="s">
        <v>99</v>
      </c>
      <c r="H8" s="72" t="s">
        <v>100</v>
      </c>
      <c r="I8" s="73">
        <f>C8*F8</f>
        <v>60498.75</v>
      </c>
      <c r="J8" s="72" t="s">
        <v>100</v>
      </c>
      <c r="K8" s="75">
        <f>I8/12</f>
        <v>5041.5625</v>
      </c>
    </row>
    <row r="9" spans="1:11" s="76" customFormat="1" hidden="1">
      <c r="A9" s="72" t="s">
        <v>101</v>
      </c>
      <c r="B9" s="72" t="s">
        <v>103</v>
      </c>
      <c r="C9" s="73">
        <f>C7-C8</f>
        <v>1109.25</v>
      </c>
      <c r="D9" s="73" t="s">
        <v>97</v>
      </c>
      <c r="E9" s="74" t="s">
        <v>98</v>
      </c>
      <c r="F9" s="72">
        <v>365</v>
      </c>
      <c r="G9" s="72" t="s">
        <v>99</v>
      </c>
      <c r="H9" s="72" t="s">
        <v>100</v>
      </c>
      <c r="I9" s="73">
        <f>C9*F9</f>
        <v>404876.25</v>
      </c>
      <c r="J9" s="72" t="s">
        <v>100</v>
      </c>
      <c r="K9" s="75">
        <f>I9/12</f>
        <v>33739.6875</v>
      </c>
    </row>
    <row r="10" spans="1:11" hidden="1">
      <c r="A10" s="68" t="s">
        <v>104</v>
      </c>
      <c r="B10" s="68" t="s">
        <v>105</v>
      </c>
      <c r="C10" s="69">
        <f>I7</f>
        <v>465375</v>
      </c>
      <c r="D10" s="69" t="s">
        <v>97</v>
      </c>
      <c r="E10" s="70" t="s">
        <v>98</v>
      </c>
      <c r="F10" s="77">
        <v>20.2</v>
      </c>
      <c r="G10" s="68" t="s">
        <v>106</v>
      </c>
      <c r="H10" s="68" t="s">
        <v>100</v>
      </c>
      <c r="I10" s="69">
        <f>C10*0.202</f>
        <v>94005.75</v>
      </c>
      <c r="J10" s="68" t="s">
        <v>100</v>
      </c>
      <c r="K10" s="71">
        <f>I10/12</f>
        <v>7833.8125</v>
      </c>
    </row>
    <row r="11" spans="1:11" ht="15.75" hidden="1">
      <c r="A11" s="79" t="s">
        <v>107</v>
      </c>
      <c r="B11" s="79" t="s">
        <v>108</v>
      </c>
      <c r="C11" s="80">
        <f>I7+I10</f>
        <v>559380.75</v>
      </c>
      <c r="D11" s="80" t="s">
        <v>97</v>
      </c>
      <c r="E11" s="81" t="s">
        <v>109</v>
      </c>
      <c r="F11" s="79">
        <v>125</v>
      </c>
      <c r="G11" s="79" t="s">
        <v>110</v>
      </c>
      <c r="H11" s="79" t="s">
        <v>100</v>
      </c>
      <c r="I11" s="80">
        <f>C11/125</f>
        <v>4475.0460000000003</v>
      </c>
      <c r="J11" s="79" t="s">
        <v>100</v>
      </c>
      <c r="K11" s="82">
        <f>I11/12</f>
        <v>372.9205</v>
      </c>
    </row>
    <row r="12" spans="1:11" ht="7.5" hidden="1" customHeight="1">
      <c r="A12" s="176"/>
      <c r="B12" s="177"/>
      <c r="C12" s="177"/>
      <c r="D12" s="177"/>
      <c r="E12" s="177"/>
      <c r="F12" s="177"/>
      <c r="G12" s="177"/>
      <c r="H12" s="177"/>
      <c r="I12" s="177"/>
      <c r="J12" s="177"/>
      <c r="K12" s="178"/>
    </row>
    <row r="13" spans="1:11" ht="15" hidden="1" customHeight="1">
      <c r="A13" s="83" t="s">
        <v>111</v>
      </c>
      <c r="B13" s="84" t="s">
        <v>112</v>
      </c>
      <c r="C13" s="160"/>
      <c r="D13" s="161"/>
      <c r="E13" s="161"/>
      <c r="F13" s="161"/>
      <c r="G13" s="161"/>
      <c r="H13" s="162"/>
      <c r="I13" s="85">
        <f>K13*12</f>
        <v>192000</v>
      </c>
      <c r="J13" s="83" t="s">
        <v>100</v>
      </c>
      <c r="K13" s="71">
        <v>16000</v>
      </c>
    </row>
    <row r="14" spans="1:11" ht="15" hidden="1" customHeight="1">
      <c r="A14" s="83" t="s">
        <v>113</v>
      </c>
      <c r="B14" s="84" t="s">
        <v>114</v>
      </c>
      <c r="C14" s="163"/>
      <c r="D14" s="164"/>
      <c r="E14" s="164"/>
      <c r="F14" s="164"/>
      <c r="G14" s="164"/>
      <c r="H14" s="165"/>
      <c r="I14" s="85">
        <v>16372.07</v>
      </c>
      <c r="J14" s="83" t="s">
        <v>100</v>
      </c>
      <c r="K14" s="71">
        <f>I14/12</f>
        <v>1364.3391666666666</v>
      </c>
    </row>
    <row r="15" spans="1:11" ht="30" hidden="1" customHeight="1">
      <c r="A15" s="83" t="s">
        <v>115</v>
      </c>
      <c r="B15" s="86" t="s">
        <v>116</v>
      </c>
      <c r="C15" s="163"/>
      <c r="D15" s="164"/>
      <c r="E15" s="164"/>
      <c r="F15" s="164"/>
      <c r="G15" s="164"/>
      <c r="H15" s="165"/>
      <c r="I15" s="85">
        <v>690</v>
      </c>
      <c r="J15" s="83" t="s">
        <v>100</v>
      </c>
      <c r="K15" s="71">
        <f>I15/12</f>
        <v>57.5</v>
      </c>
    </row>
    <row r="16" spans="1:11" ht="29.25" hidden="1" customHeight="1">
      <c r="A16" s="79" t="s">
        <v>117</v>
      </c>
      <c r="B16" s="79" t="s">
        <v>108</v>
      </c>
      <c r="C16" s="80">
        <f>C11-I13+I14+I15</f>
        <v>384442.82</v>
      </c>
      <c r="D16" s="80" t="s">
        <v>97</v>
      </c>
      <c r="E16" s="81" t="s">
        <v>109</v>
      </c>
      <c r="F16" s="80">
        <v>125</v>
      </c>
      <c r="G16" s="79" t="s">
        <v>110</v>
      </c>
      <c r="H16" s="79" t="s">
        <v>100</v>
      </c>
      <c r="I16" s="80">
        <f>C16/F16</f>
        <v>3075.5425599999999</v>
      </c>
      <c r="J16" s="79" t="s">
        <v>100</v>
      </c>
      <c r="K16" s="82">
        <f>I16/12</f>
        <v>256.29521333333332</v>
      </c>
    </row>
    <row r="17" spans="1:14" hidden="1">
      <c r="C17" s="78"/>
      <c r="D17" s="78"/>
      <c r="E17" s="87"/>
      <c r="F17" s="78"/>
      <c r="I17" s="88"/>
      <c r="K17" s="89"/>
    </row>
    <row r="18" spans="1:14">
      <c r="C18" s="78"/>
      <c r="D18" s="78"/>
      <c r="E18" s="87"/>
      <c r="F18" s="78"/>
      <c r="I18" s="88"/>
      <c r="K18" s="89"/>
    </row>
    <row r="19" spans="1:14">
      <c r="A19" s="172" t="s">
        <v>123</v>
      </c>
      <c r="B19" s="172"/>
      <c r="C19" s="172"/>
      <c r="D19" s="172"/>
      <c r="E19" s="172"/>
      <c r="F19" s="172"/>
      <c r="G19" s="172"/>
      <c r="H19" s="172"/>
      <c r="I19" s="172"/>
      <c r="J19" s="172"/>
    </row>
    <row r="21" spans="1:14" ht="30">
      <c r="A21" s="67" t="s">
        <v>89</v>
      </c>
      <c r="B21" s="67" t="s">
        <v>90</v>
      </c>
      <c r="C21" s="173" t="s">
        <v>91</v>
      </c>
      <c r="D21" s="174"/>
      <c r="E21" s="67"/>
      <c r="F21" s="175" t="s">
        <v>92</v>
      </c>
      <c r="G21" s="175"/>
      <c r="H21" s="67"/>
      <c r="I21" s="25" t="s">
        <v>93</v>
      </c>
      <c r="J21" s="67"/>
      <c r="K21" s="25" t="s">
        <v>94</v>
      </c>
    </row>
    <row r="22" spans="1:14" s="65" customFormat="1" ht="30.75" customHeight="1">
      <c r="A22" s="68" t="s">
        <v>95</v>
      </c>
      <c r="B22" s="68" t="s">
        <v>96</v>
      </c>
      <c r="C22" s="69">
        <v>1275</v>
      </c>
      <c r="D22" s="69" t="s">
        <v>97</v>
      </c>
      <c r="E22" s="70" t="s">
        <v>98</v>
      </c>
      <c r="F22" s="68">
        <v>365</v>
      </c>
      <c r="G22" s="68" t="s">
        <v>99</v>
      </c>
      <c r="H22" s="68" t="s">
        <v>100</v>
      </c>
      <c r="I22" s="69">
        <f>C22*F22</f>
        <v>465375</v>
      </c>
      <c r="J22" s="68" t="s">
        <v>100</v>
      </c>
      <c r="K22" s="71">
        <f>I22/12</f>
        <v>38781.25</v>
      </c>
    </row>
    <row r="23" spans="1:14">
      <c r="A23" s="72" t="s">
        <v>101</v>
      </c>
      <c r="B23" s="72" t="s">
        <v>102</v>
      </c>
      <c r="C23" s="73">
        <f>C22*0.13</f>
        <v>165.75</v>
      </c>
      <c r="D23" s="73" t="s">
        <v>97</v>
      </c>
      <c r="E23" s="74" t="s">
        <v>98</v>
      </c>
      <c r="F23" s="72">
        <v>365</v>
      </c>
      <c r="G23" s="72" t="s">
        <v>99</v>
      </c>
      <c r="H23" s="72" t="s">
        <v>100</v>
      </c>
      <c r="I23" s="73">
        <f>C23*F23</f>
        <v>60498.75</v>
      </c>
      <c r="J23" s="72" t="s">
        <v>100</v>
      </c>
      <c r="K23" s="75">
        <f>I23/12</f>
        <v>5041.5625</v>
      </c>
    </row>
    <row r="24" spans="1:14" s="76" customFormat="1">
      <c r="A24" s="72" t="s">
        <v>101</v>
      </c>
      <c r="B24" s="72" t="s">
        <v>103</v>
      </c>
      <c r="C24" s="73">
        <f>C22-C23</f>
        <v>1109.25</v>
      </c>
      <c r="D24" s="73" t="s">
        <v>97</v>
      </c>
      <c r="E24" s="74" t="s">
        <v>98</v>
      </c>
      <c r="F24" s="72">
        <v>365</v>
      </c>
      <c r="G24" s="72" t="s">
        <v>99</v>
      </c>
      <c r="H24" s="72" t="s">
        <v>100</v>
      </c>
      <c r="I24" s="73">
        <f>C24*F24</f>
        <v>404876.25</v>
      </c>
      <c r="J24" s="72" t="s">
        <v>100</v>
      </c>
      <c r="K24" s="75">
        <f>I24/12</f>
        <v>33739.6875</v>
      </c>
      <c r="L24" s="90"/>
    </row>
    <row r="25" spans="1:14" s="76" customFormat="1">
      <c r="A25" s="68" t="s">
        <v>104</v>
      </c>
      <c r="B25" s="68" t="s">
        <v>105</v>
      </c>
      <c r="C25" s="69">
        <f>I22</f>
        <v>465375</v>
      </c>
      <c r="D25" s="69" t="s">
        <v>97</v>
      </c>
      <c r="E25" s="70" t="s">
        <v>98</v>
      </c>
      <c r="F25" s="91">
        <v>30.2</v>
      </c>
      <c r="G25" s="68" t="s">
        <v>106</v>
      </c>
      <c r="H25" s="68" t="s">
        <v>100</v>
      </c>
      <c r="I25" s="92">
        <f>C25*0.302</f>
        <v>140543.25</v>
      </c>
      <c r="J25" s="68" t="s">
        <v>100</v>
      </c>
      <c r="K25" s="93">
        <f>I25/12</f>
        <v>11711.9375</v>
      </c>
      <c r="L25" s="90"/>
      <c r="M25" s="94"/>
      <c r="N25" s="94"/>
    </row>
    <row r="26" spans="1:14" ht="15.75">
      <c r="A26" s="79" t="s">
        <v>107</v>
      </c>
      <c r="B26" s="79" t="s">
        <v>108</v>
      </c>
      <c r="C26" s="80">
        <f>I22+I25</f>
        <v>605918.25</v>
      </c>
      <c r="D26" s="80" t="s">
        <v>97</v>
      </c>
      <c r="E26" s="81" t="s">
        <v>109</v>
      </c>
      <c r="F26" s="79">
        <v>125</v>
      </c>
      <c r="G26" s="79" t="s">
        <v>110</v>
      </c>
      <c r="H26" s="79" t="s">
        <v>100</v>
      </c>
      <c r="I26" s="80">
        <f>C26/125</f>
        <v>4847.3459999999995</v>
      </c>
      <c r="J26" s="79" t="s">
        <v>100</v>
      </c>
      <c r="K26" s="82">
        <f>I26/12</f>
        <v>403.94549999999998</v>
      </c>
    </row>
    <row r="27" spans="1:14" ht="6.75" customHeight="1">
      <c r="A27" s="176"/>
      <c r="B27" s="177"/>
      <c r="C27" s="177"/>
      <c r="D27" s="177"/>
      <c r="E27" s="177"/>
      <c r="F27" s="177"/>
      <c r="G27" s="177"/>
      <c r="H27" s="177"/>
      <c r="I27" s="177"/>
      <c r="J27" s="177"/>
      <c r="K27" s="178"/>
      <c r="M27" s="95"/>
      <c r="N27" s="95"/>
    </row>
    <row r="28" spans="1:14" ht="47.25" customHeight="1">
      <c r="A28" s="83" t="s">
        <v>111</v>
      </c>
      <c r="B28" s="84" t="s">
        <v>118</v>
      </c>
      <c r="C28" s="160"/>
      <c r="D28" s="161"/>
      <c r="E28" s="161"/>
      <c r="F28" s="161"/>
      <c r="G28" s="161"/>
      <c r="H28" s="162"/>
      <c r="I28" s="108">
        <f>K28*12</f>
        <v>192000</v>
      </c>
      <c r="J28" s="112" t="s">
        <v>100</v>
      </c>
      <c r="K28" s="71">
        <v>16000</v>
      </c>
    </row>
    <row r="29" spans="1:14" ht="46.5" customHeight="1">
      <c r="A29" s="83" t="s">
        <v>113</v>
      </c>
      <c r="B29" s="84" t="s">
        <v>119</v>
      </c>
      <c r="C29" s="163"/>
      <c r="D29" s="164"/>
      <c r="E29" s="164"/>
      <c r="F29" s="164"/>
      <c r="G29" s="164"/>
      <c r="H29" s="165"/>
      <c r="I29" s="108">
        <v>17000</v>
      </c>
      <c r="J29" s="112" t="s">
        <v>100</v>
      </c>
      <c r="K29" s="71">
        <f>I29/12</f>
        <v>1416.6666666666667</v>
      </c>
    </row>
    <row r="30" spans="1:14" ht="30" hidden="1" customHeight="1">
      <c r="A30" s="83" t="s">
        <v>115</v>
      </c>
      <c r="B30" s="86" t="s">
        <v>120</v>
      </c>
      <c r="C30" s="163"/>
      <c r="D30" s="164"/>
      <c r="E30" s="164"/>
      <c r="F30" s="164"/>
      <c r="G30" s="164"/>
      <c r="H30" s="165"/>
      <c r="I30" s="108">
        <v>0</v>
      </c>
      <c r="J30" s="112" t="s">
        <v>100</v>
      </c>
      <c r="K30" s="71">
        <f>I30/12</f>
        <v>0</v>
      </c>
    </row>
    <row r="31" spans="1:14" ht="19.5" customHeight="1">
      <c r="A31" s="79" t="s">
        <v>115</v>
      </c>
      <c r="B31" s="79" t="s">
        <v>108</v>
      </c>
      <c r="C31" s="80">
        <f>C26-I28+I29+I30</f>
        <v>430918.25</v>
      </c>
      <c r="D31" s="80" t="s">
        <v>97</v>
      </c>
      <c r="E31" s="81" t="s">
        <v>109</v>
      </c>
      <c r="F31" s="80">
        <v>125</v>
      </c>
      <c r="G31" s="79" t="s">
        <v>110</v>
      </c>
      <c r="H31" s="79" t="s">
        <v>100</v>
      </c>
      <c r="I31" s="109">
        <f>C31/F31</f>
        <v>3447.346</v>
      </c>
      <c r="J31" s="113" t="s">
        <v>100</v>
      </c>
      <c r="K31" s="82">
        <f>I31/12</f>
        <v>287.27883333333335</v>
      </c>
    </row>
    <row r="32" spans="1:14" ht="8.25" customHeight="1">
      <c r="A32" s="96"/>
      <c r="B32" s="97"/>
      <c r="C32" s="97"/>
      <c r="D32" s="97"/>
      <c r="E32" s="98"/>
      <c r="F32" s="97"/>
      <c r="G32" s="97"/>
      <c r="H32" s="97"/>
      <c r="I32" s="110"/>
      <c r="J32" s="110"/>
      <c r="K32" s="99"/>
    </row>
    <row r="33" spans="1:13" ht="60">
      <c r="A33" s="100" t="s">
        <v>117</v>
      </c>
      <c r="B33" s="101" t="s">
        <v>124</v>
      </c>
      <c r="C33" s="166"/>
      <c r="D33" s="167"/>
      <c r="E33" s="167"/>
      <c r="F33" s="167"/>
      <c r="G33" s="167"/>
      <c r="H33" s="168"/>
      <c r="I33" s="111">
        <f>K33*12</f>
        <v>48000</v>
      </c>
      <c r="J33" s="114" t="s">
        <v>100</v>
      </c>
      <c r="K33" s="102">
        <v>4000</v>
      </c>
      <c r="M33" s="41"/>
    </row>
    <row r="34" spans="1:13" ht="60">
      <c r="A34" s="100" t="s">
        <v>121</v>
      </c>
      <c r="B34" s="101" t="s">
        <v>125</v>
      </c>
      <c r="C34" s="169"/>
      <c r="D34" s="170"/>
      <c r="E34" s="170"/>
      <c r="F34" s="170"/>
      <c r="G34" s="170"/>
      <c r="H34" s="171"/>
      <c r="I34" s="111">
        <v>1600</v>
      </c>
      <c r="J34" s="114" t="s">
        <v>100</v>
      </c>
      <c r="K34" s="102">
        <f>I34/12</f>
        <v>133.33333333333334</v>
      </c>
    </row>
    <row r="35" spans="1:13" ht="15.75">
      <c r="A35" s="103" t="s">
        <v>122</v>
      </c>
      <c r="B35" s="103" t="s">
        <v>108</v>
      </c>
      <c r="C35" s="104">
        <f>C31-I33+I34</f>
        <v>384518.25</v>
      </c>
      <c r="D35" s="104" t="s">
        <v>97</v>
      </c>
      <c r="E35" s="105" t="s">
        <v>109</v>
      </c>
      <c r="F35" s="104">
        <v>125</v>
      </c>
      <c r="G35" s="103" t="s">
        <v>110</v>
      </c>
      <c r="H35" s="103" t="s">
        <v>100</v>
      </c>
      <c r="I35" s="104">
        <f>C35/F35</f>
        <v>3076.1460000000002</v>
      </c>
      <c r="J35" s="103" t="s">
        <v>100</v>
      </c>
      <c r="K35" s="106">
        <f>I35/12</f>
        <v>256.34550000000002</v>
      </c>
    </row>
    <row r="38" spans="1:13">
      <c r="B38" s="107" t="s">
        <v>83</v>
      </c>
      <c r="I38" s="59" t="s">
        <v>84</v>
      </c>
    </row>
  </sheetData>
  <mergeCells count="17">
    <mergeCell ref="A27:K27"/>
    <mergeCell ref="A1:K1"/>
    <mergeCell ref="A4:K4"/>
    <mergeCell ref="C6:D6"/>
    <mergeCell ref="F6:G6"/>
    <mergeCell ref="A12:K12"/>
    <mergeCell ref="C13:H13"/>
    <mergeCell ref="C14:H14"/>
    <mergeCell ref="C15:H15"/>
    <mergeCell ref="A19:J19"/>
    <mergeCell ref="C21:D21"/>
    <mergeCell ref="F21:G21"/>
    <mergeCell ref="C28:H28"/>
    <mergeCell ref="C29:H29"/>
    <mergeCell ref="C30:H30"/>
    <mergeCell ref="C33:H33"/>
    <mergeCell ref="C34:H3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паркинг</vt:lpstr>
      <vt:lpstr>консьержи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2020-02-07T07:45:44Z</dcterms:modified>
</cp:coreProperties>
</file>